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F:\2025\6․ ՇՄԱՀ-ԳՀԱՇՁԲ-2025\02․ ՀՀ ՇՄԱՀ-ԲՄԱՇՁԲ-25-05 Կառնուտի գազ\"/>
    </mc:Choice>
  </mc:AlternateContent>
  <xr:revisionPtr revIDLastSave="0" documentId="13_ncr:1_{928650DF-7B05-40DF-BEE0-08472DF5351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Հայերեն" sheetId="1" r:id="rId1"/>
    <sheet name="Рус" sheetId="2" r:id="rId2"/>
  </sheets>
  <externalReferences>
    <externalReference r:id="rId3"/>
  </externalReferences>
  <definedNames>
    <definedName name="_xlnm.Print_Area" localSheetId="0">Հայերեն!$A$1:$AD$166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2" l="1"/>
  <c r="Y166" i="2"/>
  <c r="W162" i="2"/>
  <c r="X159" i="2"/>
  <c r="O158" i="2"/>
  <c r="P156" i="2"/>
  <c r="O156" i="2"/>
  <c r="E155" i="2"/>
  <c r="E153" i="2"/>
  <c r="A153" i="2"/>
  <c r="A155" i="2" s="1"/>
  <c r="A157" i="2" s="1"/>
  <c r="F151" i="2"/>
  <c r="A151" i="2"/>
  <c r="E149" i="2"/>
  <c r="E151" i="2" s="1"/>
  <c r="P147" i="2"/>
  <c r="E146" i="2"/>
  <c r="O147" i="2" s="1"/>
  <c r="E144" i="2"/>
  <c r="E142" i="2"/>
  <c r="O143" i="2" s="1"/>
  <c r="O141" i="2"/>
  <c r="Q140" i="2"/>
  <c r="O140" i="2"/>
  <c r="Q139" i="2"/>
  <c r="F138" i="2"/>
  <c r="E138" i="2"/>
  <c r="A138" i="2"/>
  <c r="A142" i="2" s="1"/>
  <c r="A144" i="2" s="1"/>
  <c r="A146" i="2" s="1"/>
  <c r="F136" i="2"/>
  <c r="A136" i="2"/>
  <c r="F134" i="2"/>
  <c r="E134" i="2"/>
  <c r="E136" i="2" s="1"/>
  <c r="U133" i="2"/>
  <c r="O132" i="2"/>
  <c r="I131" i="2"/>
  <c r="F131" i="2"/>
  <c r="P130" i="2"/>
  <c r="O130" i="2"/>
  <c r="Q128" i="2"/>
  <c r="O128" i="2"/>
  <c r="O127" i="2"/>
  <c r="I126" i="2"/>
  <c r="F126" i="2"/>
  <c r="P124" i="2"/>
  <c r="Q124" i="2" s="1"/>
  <c r="O124" i="2"/>
  <c r="I123" i="2"/>
  <c r="F123" i="2"/>
  <c r="E123" i="2"/>
  <c r="O125" i="2" s="1"/>
  <c r="O122" i="2"/>
  <c r="P121" i="2"/>
  <c r="O121" i="2"/>
  <c r="I120" i="2"/>
  <c r="F120" i="2"/>
  <c r="E120" i="2"/>
  <c r="Q119" i="2"/>
  <c r="O119" i="2"/>
  <c r="P118" i="2"/>
  <c r="Q118" i="2" s="1"/>
  <c r="R118" i="2" s="1"/>
  <c r="U117" i="2" s="1"/>
  <c r="O118" i="2"/>
  <c r="I117" i="2"/>
  <c r="F117" i="2"/>
  <c r="E117" i="2"/>
  <c r="O116" i="2"/>
  <c r="P115" i="2"/>
  <c r="O115" i="2"/>
  <c r="I114" i="2"/>
  <c r="F114" i="2"/>
  <c r="O113" i="2"/>
  <c r="P112" i="2"/>
  <c r="O112" i="2"/>
  <c r="I111" i="2"/>
  <c r="F111" i="2"/>
  <c r="E111" i="2"/>
  <c r="O110" i="2"/>
  <c r="P109" i="2"/>
  <c r="Q109" i="2" s="1"/>
  <c r="O109" i="2"/>
  <c r="I108" i="2"/>
  <c r="F108" i="2"/>
  <c r="O105" i="2"/>
  <c r="O104" i="2"/>
  <c r="O103" i="2"/>
  <c r="I100" i="2"/>
  <c r="F100" i="2"/>
  <c r="F96" i="2"/>
  <c r="Q95" i="2"/>
  <c r="O95" i="2"/>
  <c r="O94" i="2"/>
  <c r="Q93" i="2"/>
  <c r="O93" i="2"/>
  <c r="I92" i="2"/>
  <c r="F92" i="2"/>
  <c r="E92" i="2"/>
  <c r="O91" i="2"/>
  <c r="I90" i="2"/>
  <c r="F90" i="2"/>
  <c r="E90" i="2"/>
  <c r="N89" i="2"/>
  <c r="Q89" i="2" s="1"/>
  <c r="R89" i="2" s="1"/>
  <c r="I88" i="2"/>
  <c r="F88" i="2"/>
  <c r="P87" i="2"/>
  <c r="N87" i="2"/>
  <c r="P86" i="2"/>
  <c r="I85" i="2"/>
  <c r="F85" i="2"/>
  <c r="E85" i="2"/>
  <c r="O86" i="2" s="1"/>
  <c r="Q84" i="2"/>
  <c r="R84" i="2" s="1"/>
  <c r="U83" i="2" s="1"/>
  <c r="O84" i="2"/>
  <c r="Q82" i="2"/>
  <c r="R82" i="2" s="1"/>
  <c r="U81" i="2" s="1"/>
  <c r="O82" i="2"/>
  <c r="I81" i="2"/>
  <c r="F81" i="2"/>
  <c r="E81" i="2"/>
  <c r="O80" i="2"/>
  <c r="O78" i="2"/>
  <c r="O76" i="2"/>
  <c r="O74" i="2"/>
  <c r="O72" i="2"/>
  <c r="Q70" i="2"/>
  <c r="R70" i="2" s="1"/>
  <c r="O70" i="2"/>
  <c r="O68" i="2"/>
  <c r="P66" i="2"/>
  <c r="O66" i="2"/>
  <c r="O65" i="2"/>
  <c r="I64" i="2"/>
  <c r="F64" i="2"/>
  <c r="P63" i="2"/>
  <c r="P62" i="2"/>
  <c r="Q62" i="2" s="1"/>
  <c r="O62" i="2"/>
  <c r="P61" i="2"/>
  <c r="Q61" i="2" s="1"/>
  <c r="O61" i="2"/>
  <c r="E60" i="2"/>
  <c r="O59" i="2"/>
  <c r="P57" i="2"/>
  <c r="O57" i="2"/>
  <c r="P56" i="2"/>
  <c r="O56" i="2"/>
  <c r="P55" i="2"/>
  <c r="E54" i="2"/>
  <c r="Q53" i="2"/>
  <c r="R53" i="2" s="1"/>
  <c r="U52" i="2" s="1"/>
  <c r="O53" i="2"/>
  <c r="Q51" i="2"/>
  <c r="P51" i="2"/>
  <c r="P50" i="2"/>
  <c r="Q50" i="2" s="1"/>
  <c r="P49" i="2"/>
  <c r="Q49" i="2" s="1"/>
  <c r="I49" i="2"/>
  <c r="E48" i="2"/>
  <c r="O51" i="2" s="1"/>
  <c r="O47" i="2"/>
  <c r="Q45" i="2"/>
  <c r="P45" i="2"/>
  <c r="P44" i="2"/>
  <c r="Q44" i="2" s="1"/>
  <c r="O44" i="2"/>
  <c r="Q43" i="2"/>
  <c r="R43" i="2" s="1"/>
  <c r="P43" i="2"/>
  <c r="O43" i="2"/>
  <c r="E42" i="2"/>
  <c r="O45" i="2" s="1"/>
  <c r="Q41" i="2"/>
  <c r="R41" i="2" s="1"/>
  <c r="U40" i="2" s="1"/>
  <c r="O41" i="2"/>
  <c r="U36" i="2"/>
  <c r="I36" i="2"/>
  <c r="F36" i="2"/>
  <c r="I34" i="2"/>
  <c r="E32" i="2"/>
  <c r="Q31" i="2"/>
  <c r="U30" i="2" s="1"/>
  <c r="O31" i="2"/>
  <c r="I30" i="2"/>
  <c r="F30" i="2"/>
  <c r="A30" i="2"/>
  <c r="A32" i="2" s="1"/>
  <c r="A34" i="2" s="1"/>
  <c r="A36" i="2" s="1"/>
  <c r="A38" i="2" s="1"/>
  <c r="A40" i="2" s="1"/>
  <c r="A42" i="2" s="1"/>
  <c r="A46" i="2" s="1"/>
  <c r="A48" i="2" s="1"/>
  <c r="A52" i="2" s="1"/>
  <c r="A54" i="2" s="1"/>
  <c r="A58" i="2" s="1"/>
  <c r="A60" i="2" s="1"/>
  <c r="A64" i="2" s="1"/>
  <c r="A67" i="2" s="1"/>
  <c r="A69" i="2" s="1"/>
  <c r="A71" i="2" s="1"/>
  <c r="A73" i="2" s="1"/>
  <c r="A75" i="2" s="1"/>
  <c r="A77" i="2" s="1"/>
  <c r="A79" i="2" s="1"/>
  <c r="A81" i="2" s="1"/>
  <c r="A83" i="2" s="1"/>
  <c r="A85" i="2" s="1"/>
  <c r="A88" i="2" s="1"/>
  <c r="A90" i="2" s="1"/>
  <c r="A92" i="2" s="1"/>
  <c r="A96" i="2" s="1"/>
  <c r="A98" i="2" s="1"/>
  <c r="A100" i="2" s="1"/>
  <c r="A102" i="2" s="1"/>
  <c r="A106" i="2" s="1"/>
  <c r="A108" i="2" s="1"/>
  <c r="A111" i="2" s="1"/>
  <c r="A114" i="2" s="1"/>
  <c r="A117" i="2" s="1"/>
  <c r="A120" i="2" s="1"/>
  <c r="A123" i="2" s="1"/>
  <c r="A126" i="2" s="1"/>
  <c r="A129" i="2" s="1"/>
  <c r="A131" i="2" s="1"/>
  <c r="I29" i="2"/>
  <c r="I28" i="2"/>
  <c r="F28" i="2"/>
  <c r="I26" i="2"/>
  <c r="F26" i="2"/>
  <c r="I24" i="2"/>
  <c r="F24" i="2"/>
  <c r="A24" i="2"/>
  <c r="A26" i="2" s="1"/>
  <c r="A28" i="2" s="1"/>
  <c r="I22" i="2"/>
  <c r="F22" i="2"/>
  <c r="V14" i="2"/>
  <c r="U14" i="2"/>
  <c r="Q13" i="2"/>
  <c r="I121" i="2" s="1"/>
  <c r="J13" i="2"/>
  <c r="F121" i="2" s="1"/>
  <c r="N11" i="2"/>
  <c r="Q158" i="2" s="1"/>
  <c r="R158" i="2" s="1"/>
  <c r="U157" i="2" s="1"/>
  <c r="D11" i="2"/>
  <c r="P9" i="2"/>
  <c r="P9" i="1"/>
  <c r="D11" i="1"/>
  <c r="U14" i="1" s="1"/>
  <c r="N11" i="1"/>
  <c r="Q80" i="1" s="1"/>
  <c r="R80" i="1" s="1"/>
  <c r="U79" i="1" s="1"/>
  <c r="J13" i="1"/>
  <c r="F156" i="1" s="1"/>
  <c r="Q13" i="1"/>
  <c r="I139" i="1" s="1"/>
  <c r="V14" i="1"/>
  <c r="V74" i="1" s="1"/>
  <c r="W74" i="1" s="1"/>
  <c r="Y166" i="1"/>
  <c r="W162" i="1"/>
  <c r="X159" i="1"/>
  <c r="V158" i="1"/>
  <c r="W158" i="1" s="1"/>
  <c r="O158" i="1"/>
  <c r="P156" i="1"/>
  <c r="E155" i="1"/>
  <c r="O156" i="1" s="1"/>
  <c r="E153" i="1"/>
  <c r="O154" i="1" s="1"/>
  <c r="F151" i="1"/>
  <c r="A151" i="1"/>
  <c r="A153" i="1" s="1"/>
  <c r="A155" i="1" s="1"/>
  <c r="A157" i="1" s="1"/>
  <c r="E149" i="1"/>
  <c r="E151" i="1" s="1"/>
  <c r="P147" i="1"/>
  <c r="Q147" i="1" s="1"/>
  <c r="R147" i="1" s="1"/>
  <c r="E146" i="1"/>
  <c r="A146" i="1"/>
  <c r="E144" i="1"/>
  <c r="O145" i="1" s="1"/>
  <c r="E142" i="1"/>
  <c r="O143" i="1" s="1"/>
  <c r="V141" i="1"/>
  <c r="W141" i="1" s="1"/>
  <c r="V139" i="1"/>
  <c r="W139" i="1" s="1"/>
  <c r="F138" i="1"/>
  <c r="E138" i="1"/>
  <c r="O139" i="1" s="1"/>
  <c r="F136" i="1"/>
  <c r="A136" i="1"/>
  <c r="A138" i="1" s="1"/>
  <c r="A142" i="1" s="1"/>
  <c r="A144" i="1" s="1"/>
  <c r="F134" i="1"/>
  <c r="E134" i="1"/>
  <c r="E136" i="1" s="1"/>
  <c r="U133" i="1"/>
  <c r="O132" i="1"/>
  <c r="I131" i="1"/>
  <c r="F131" i="1"/>
  <c r="P130" i="1"/>
  <c r="O130" i="1"/>
  <c r="O128" i="1"/>
  <c r="O127" i="1"/>
  <c r="I126" i="1"/>
  <c r="F126" i="1"/>
  <c r="P124" i="1"/>
  <c r="I123" i="1"/>
  <c r="F123" i="1"/>
  <c r="E123" i="1"/>
  <c r="O124" i="1" s="1"/>
  <c r="P121" i="1"/>
  <c r="I120" i="1"/>
  <c r="F120" i="1"/>
  <c r="E120" i="1"/>
  <c r="O121" i="1" s="1"/>
  <c r="P118" i="1"/>
  <c r="I117" i="1"/>
  <c r="F117" i="1"/>
  <c r="F118" i="1" s="1"/>
  <c r="E117" i="1"/>
  <c r="O118" i="1" s="1"/>
  <c r="O116" i="1"/>
  <c r="P115" i="1"/>
  <c r="O115" i="1"/>
  <c r="I114" i="1"/>
  <c r="F114" i="1"/>
  <c r="P112" i="1"/>
  <c r="I111" i="1"/>
  <c r="F111" i="1"/>
  <c r="E111" i="1"/>
  <c r="O110" i="1"/>
  <c r="P109" i="1"/>
  <c r="Q109" i="1" s="1"/>
  <c r="O109" i="1"/>
  <c r="I108" i="1"/>
  <c r="F108" i="1"/>
  <c r="O105" i="1"/>
  <c r="O104" i="1"/>
  <c r="O103" i="1"/>
  <c r="I100" i="1"/>
  <c r="F100" i="1"/>
  <c r="F96" i="1"/>
  <c r="I92" i="1"/>
  <c r="F92" i="1"/>
  <c r="E92" i="1"/>
  <c r="O95" i="1" s="1"/>
  <c r="I90" i="1"/>
  <c r="F90" i="1"/>
  <c r="E90" i="1"/>
  <c r="N89" i="1"/>
  <c r="I88" i="1"/>
  <c r="F88" i="1"/>
  <c r="P87" i="1"/>
  <c r="N87" i="1"/>
  <c r="P86" i="1"/>
  <c r="I85" i="1"/>
  <c r="F85" i="1"/>
  <c r="E85" i="1"/>
  <c r="O86" i="1" s="1"/>
  <c r="O84" i="1"/>
  <c r="I81" i="1"/>
  <c r="F81" i="1"/>
  <c r="E81" i="1"/>
  <c r="O80" i="1"/>
  <c r="O78" i="1"/>
  <c r="O76" i="1"/>
  <c r="O74" i="1"/>
  <c r="Q72" i="1"/>
  <c r="R72" i="1" s="1"/>
  <c r="U71" i="1" s="1"/>
  <c r="O72" i="1"/>
  <c r="V70" i="1"/>
  <c r="W70" i="1" s="1"/>
  <c r="Q70" i="1"/>
  <c r="R70" i="1" s="1"/>
  <c r="U69" i="1" s="1"/>
  <c r="O70" i="1"/>
  <c r="O68" i="1"/>
  <c r="P66" i="1"/>
  <c r="O66" i="1"/>
  <c r="O65" i="1"/>
  <c r="I64" i="1"/>
  <c r="F64" i="1"/>
  <c r="P63" i="1"/>
  <c r="P62" i="1"/>
  <c r="P61" i="1"/>
  <c r="E60" i="1"/>
  <c r="O63" i="1" s="1"/>
  <c r="O59" i="1"/>
  <c r="F59" i="1"/>
  <c r="P57" i="1"/>
  <c r="Q57" i="1" s="1"/>
  <c r="P56" i="1"/>
  <c r="P55" i="1"/>
  <c r="E54" i="1"/>
  <c r="O55" i="1" s="1"/>
  <c r="O53" i="1"/>
  <c r="P51" i="1"/>
  <c r="P50" i="1"/>
  <c r="P49" i="1"/>
  <c r="E48" i="1"/>
  <c r="O51" i="1" s="1"/>
  <c r="O47" i="1"/>
  <c r="P45" i="1"/>
  <c r="P44" i="1"/>
  <c r="Q44" i="1" s="1"/>
  <c r="P43" i="1"/>
  <c r="E42" i="1"/>
  <c r="O44" i="1" s="1"/>
  <c r="O41" i="1"/>
  <c r="U36" i="1"/>
  <c r="I36" i="1"/>
  <c r="I37" i="1" s="1"/>
  <c r="F36" i="1"/>
  <c r="F37" i="1" s="1"/>
  <c r="I34" i="1"/>
  <c r="E32" i="1"/>
  <c r="Q31" i="1"/>
  <c r="U30" i="1" s="1"/>
  <c r="O31" i="1"/>
  <c r="I30" i="1"/>
  <c r="F30" i="1"/>
  <c r="I28" i="1"/>
  <c r="F28" i="1"/>
  <c r="I26" i="1"/>
  <c r="F26" i="1"/>
  <c r="F27" i="1" s="1"/>
  <c r="I24" i="1"/>
  <c r="I25" i="1" s="1"/>
  <c r="F24" i="1"/>
  <c r="A24" i="1"/>
  <c r="A26" i="1" s="1"/>
  <c r="A28" i="1" s="1"/>
  <c r="A30" i="1" s="1"/>
  <c r="A32" i="1" s="1"/>
  <c r="A34" i="1" s="1"/>
  <c r="A36" i="1" s="1"/>
  <c r="A38" i="1" s="1"/>
  <c r="A40" i="1" s="1"/>
  <c r="A42" i="1" s="1"/>
  <c r="A46" i="1" s="1"/>
  <c r="A48" i="1" s="1"/>
  <c r="A52" i="1" s="1"/>
  <c r="A54" i="1" s="1"/>
  <c r="A58" i="1" s="1"/>
  <c r="A60" i="1" s="1"/>
  <c r="A64" i="1" s="1"/>
  <c r="A67" i="1" s="1"/>
  <c r="A69" i="1" s="1"/>
  <c r="A71" i="1" s="1"/>
  <c r="A73" i="1" s="1"/>
  <c r="A75" i="1" s="1"/>
  <c r="A77" i="1" s="1"/>
  <c r="A79" i="1" s="1"/>
  <c r="A81" i="1" s="1"/>
  <c r="A83" i="1" s="1"/>
  <c r="A85" i="1" s="1"/>
  <c r="A88" i="1" s="1"/>
  <c r="A90" i="1" s="1"/>
  <c r="A92" i="1" s="1"/>
  <c r="A96" i="1" s="1"/>
  <c r="A98" i="1" s="1"/>
  <c r="A100" i="1" s="1"/>
  <c r="A102" i="1" s="1"/>
  <c r="A106" i="1" s="1"/>
  <c r="A108" i="1" s="1"/>
  <c r="A111" i="1" s="1"/>
  <c r="A114" i="1" s="1"/>
  <c r="A117" i="1" s="1"/>
  <c r="A120" i="1" s="1"/>
  <c r="A123" i="1" s="1"/>
  <c r="A126" i="1" s="1"/>
  <c r="A129" i="1" s="1"/>
  <c r="A131" i="1" s="1"/>
  <c r="I22" i="1"/>
  <c r="I23" i="1" s="1"/>
  <c r="F22" i="1"/>
  <c r="F23" i="1" s="1"/>
  <c r="F150" i="2" l="1"/>
  <c r="F70" i="2"/>
  <c r="I118" i="2"/>
  <c r="I150" i="2"/>
  <c r="F127" i="2"/>
  <c r="R126" i="2" s="1"/>
  <c r="I31" i="2"/>
  <c r="F43" i="2"/>
  <c r="R42" i="2" s="1"/>
  <c r="S42" i="2" s="1"/>
  <c r="I82" i="2"/>
  <c r="I27" i="2"/>
  <c r="R26" i="2" s="1"/>
  <c r="S26" i="2" s="1"/>
  <c r="T26" i="2" s="1"/>
  <c r="I37" i="2"/>
  <c r="Q56" i="2"/>
  <c r="F86" i="2"/>
  <c r="R85" i="2" s="1"/>
  <c r="Q91" i="2"/>
  <c r="R91" i="2" s="1"/>
  <c r="U90" i="2" s="1"/>
  <c r="Q121" i="2"/>
  <c r="I143" i="2"/>
  <c r="Q156" i="2"/>
  <c r="R156" i="2" s="1"/>
  <c r="U155" i="2" s="1"/>
  <c r="Q51" i="1"/>
  <c r="F27" i="2"/>
  <c r="F80" i="2"/>
  <c r="I86" i="2"/>
  <c r="F158" i="2"/>
  <c r="F53" i="1"/>
  <c r="F86" i="1"/>
  <c r="I97" i="1"/>
  <c r="I39" i="2"/>
  <c r="R38" i="2" s="1"/>
  <c r="S38" i="2" s="1"/>
  <c r="T38" i="2" s="1"/>
  <c r="Q57" i="2"/>
  <c r="Q66" i="2"/>
  <c r="I80" i="2"/>
  <c r="Q86" i="2"/>
  <c r="R86" i="2" s="1"/>
  <c r="U85" i="2" s="1"/>
  <c r="Q105" i="2"/>
  <c r="I89" i="2"/>
  <c r="F31" i="2"/>
  <c r="R30" i="2" s="1"/>
  <c r="I70" i="2"/>
  <c r="I43" i="2"/>
  <c r="F152" i="2"/>
  <c r="V91" i="1"/>
  <c r="W91" i="1" s="1"/>
  <c r="I132" i="1"/>
  <c r="F25" i="2"/>
  <c r="F103" i="2"/>
  <c r="I25" i="2"/>
  <c r="I35" i="2"/>
  <c r="R34" i="2" s="1"/>
  <c r="S34" i="2" s="1"/>
  <c r="T34" i="2" s="1"/>
  <c r="V55" i="2"/>
  <c r="W55" i="2" s="1"/>
  <c r="F78" i="2"/>
  <c r="I103" i="2"/>
  <c r="F132" i="2"/>
  <c r="R131" i="2" s="1"/>
  <c r="I156" i="2"/>
  <c r="I82" i="1"/>
  <c r="F93" i="1"/>
  <c r="F37" i="2"/>
  <c r="I65" i="2"/>
  <c r="F115" i="2"/>
  <c r="F143" i="2"/>
  <c r="I35" i="1"/>
  <c r="R34" i="1" s="1"/>
  <c r="S34" i="1" s="1"/>
  <c r="I86" i="1"/>
  <c r="I158" i="1"/>
  <c r="F41" i="2"/>
  <c r="R40" i="2" s="1"/>
  <c r="F59" i="2"/>
  <c r="R58" i="2" s="1"/>
  <c r="F68" i="2"/>
  <c r="R67" i="2" s="1"/>
  <c r="V105" i="2"/>
  <c r="W105" i="2" s="1"/>
  <c r="F135" i="2"/>
  <c r="F137" i="2"/>
  <c r="R136" i="2" s="1"/>
  <c r="S136" i="2" s="1"/>
  <c r="T136" i="2" s="1"/>
  <c r="I61" i="2"/>
  <c r="F82" i="2"/>
  <c r="R81" i="2" s="1"/>
  <c r="I127" i="2"/>
  <c r="F23" i="2"/>
  <c r="F97" i="2"/>
  <c r="F112" i="2"/>
  <c r="I152" i="2"/>
  <c r="V130" i="1"/>
  <c r="W130" i="1" s="1"/>
  <c r="I23" i="2"/>
  <c r="F101" i="2"/>
  <c r="I112" i="2"/>
  <c r="V119" i="1"/>
  <c r="W119" i="1" s="1"/>
  <c r="I101" i="2"/>
  <c r="Q110" i="1"/>
  <c r="R109" i="1" s="1"/>
  <c r="U108" i="1" s="1"/>
  <c r="F91" i="2"/>
  <c r="V110" i="1"/>
  <c r="W110" i="1" s="1"/>
  <c r="I91" i="2"/>
  <c r="I78" i="2"/>
  <c r="I132" i="2"/>
  <c r="F112" i="1"/>
  <c r="V169" i="1"/>
  <c r="V35" i="1"/>
  <c r="W35" i="1" s="1"/>
  <c r="F29" i="2"/>
  <c r="I41" i="2"/>
  <c r="F49" i="2"/>
  <c r="R48" i="2" s="1"/>
  <c r="I59" i="2"/>
  <c r="I68" i="2"/>
  <c r="Q87" i="2"/>
  <c r="I93" i="2"/>
  <c r="I124" i="2"/>
  <c r="R79" i="2"/>
  <c r="R28" i="2"/>
  <c r="S28" i="2" s="1"/>
  <c r="T28" i="2" s="1"/>
  <c r="R69" i="2"/>
  <c r="S69" i="2" s="1"/>
  <c r="T69" i="2" s="1"/>
  <c r="V21" i="2"/>
  <c r="W21" i="2" s="1"/>
  <c r="V99" i="2"/>
  <c r="W99" i="2" s="1"/>
  <c r="V145" i="2"/>
  <c r="W145" i="2" s="1"/>
  <c r="V59" i="2"/>
  <c r="W59" i="2" s="1"/>
  <c r="V51" i="2"/>
  <c r="W51" i="2" s="1"/>
  <c r="R149" i="2"/>
  <c r="S149" i="2" s="1"/>
  <c r="V149" i="2" s="1"/>
  <c r="W149" i="2" s="1"/>
  <c r="V169" i="2"/>
  <c r="V143" i="2"/>
  <c r="W143" i="2" s="1"/>
  <c r="V135" i="2"/>
  <c r="W135" i="2" s="1"/>
  <c r="V116" i="2"/>
  <c r="W116" i="2" s="1"/>
  <c r="V107" i="2"/>
  <c r="W107" i="2" s="1"/>
  <c r="V101" i="2"/>
  <c r="W101" i="2" s="1"/>
  <c r="V76" i="2"/>
  <c r="W76" i="2" s="1"/>
  <c r="V62" i="2"/>
  <c r="W62" i="2" s="1"/>
  <c r="V50" i="2"/>
  <c r="W50" i="2" s="1"/>
  <c r="V140" i="2"/>
  <c r="W140" i="2" s="1"/>
  <c r="V95" i="2"/>
  <c r="W95" i="2" s="1"/>
  <c r="V133" i="2"/>
  <c r="W133" i="2" s="1"/>
  <c r="V125" i="2"/>
  <c r="W125" i="2" s="1"/>
  <c r="V156" i="2"/>
  <c r="W156" i="2" s="1"/>
  <c r="V122" i="2"/>
  <c r="W122" i="2" s="1"/>
  <c r="V65" i="2"/>
  <c r="W65" i="2" s="1"/>
  <c r="V57" i="2"/>
  <c r="W57" i="2" s="1"/>
  <c r="V91" i="2"/>
  <c r="W91" i="2" s="1"/>
  <c r="V109" i="2"/>
  <c r="W109" i="2" s="1"/>
  <c r="V154" i="2"/>
  <c r="W154" i="2" s="1"/>
  <c r="V148" i="2"/>
  <c r="W148" i="2" s="1"/>
  <c r="V127" i="2"/>
  <c r="W127" i="2" s="1"/>
  <c r="V47" i="2"/>
  <c r="W47" i="2" s="1"/>
  <c r="V103" i="2"/>
  <c r="W103" i="2" s="1"/>
  <c r="V147" i="2"/>
  <c r="W147" i="2" s="1"/>
  <c r="V130" i="2"/>
  <c r="W130" i="2" s="1"/>
  <c r="V124" i="2"/>
  <c r="W124" i="2" s="1"/>
  <c r="V104" i="2"/>
  <c r="W104" i="2" s="1"/>
  <c r="V94" i="2"/>
  <c r="W94" i="2" s="1"/>
  <c r="V63" i="2"/>
  <c r="W63" i="2" s="1"/>
  <c r="V49" i="2"/>
  <c r="W49" i="2" s="1"/>
  <c r="V89" i="2"/>
  <c r="W89" i="2" s="1"/>
  <c r="V87" i="2"/>
  <c r="W87" i="2" s="1"/>
  <c r="V78" i="2"/>
  <c r="W78" i="2" s="1"/>
  <c r="V97" i="2"/>
  <c r="W97" i="2" s="1"/>
  <c r="V93" i="2"/>
  <c r="W93" i="2" s="1"/>
  <c r="V39" i="2"/>
  <c r="W39" i="2" s="1"/>
  <c r="V150" i="2"/>
  <c r="W150" i="2" s="1"/>
  <c r="V132" i="2"/>
  <c r="W132" i="2" s="1"/>
  <c r="V112" i="2"/>
  <c r="W112" i="2" s="1"/>
  <c r="V110" i="2"/>
  <c r="W110" i="2" s="1"/>
  <c r="V68" i="2"/>
  <c r="W68" i="2" s="1"/>
  <c r="V44" i="2"/>
  <c r="W44" i="2" s="1"/>
  <c r="V25" i="2"/>
  <c r="W25" i="2" s="1"/>
  <c r="V33" i="2"/>
  <c r="W33" i="2" s="1"/>
  <c r="V113" i="2"/>
  <c r="W113" i="2" s="1"/>
  <c r="V86" i="2"/>
  <c r="W86" i="2" s="1"/>
  <c r="V38" i="2"/>
  <c r="W38" i="2" s="1"/>
  <c r="V128" i="2"/>
  <c r="W128" i="2" s="1"/>
  <c r="V115" i="2"/>
  <c r="W115" i="2" s="1"/>
  <c r="V66" i="2"/>
  <c r="W66" i="2" s="1"/>
  <c r="V45" i="2"/>
  <c r="W45" i="2" s="1"/>
  <c r="V119" i="2"/>
  <c r="W119" i="2" s="1"/>
  <c r="V53" i="2"/>
  <c r="W53" i="2" s="1"/>
  <c r="V23" i="2"/>
  <c r="W23" i="2" s="1"/>
  <c r="V152" i="2"/>
  <c r="W152" i="2" s="1"/>
  <c r="V35" i="2"/>
  <c r="W35" i="2" s="1"/>
  <c r="V121" i="2"/>
  <c r="W121" i="2" s="1"/>
  <c r="V84" i="2"/>
  <c r="W84" i="2" s="1"/>
  <c r="V82" i="2"/>
  <c r="W82" i="2" s="1"/>
  <c r="V29" i="2"/>
  <c r="W29" i="2" s="1"/>
  <c r="V61" i="2"/>
  <c r="W61" i="2" s="1"/>
  <c r="V56" i="2"/>
  <c r="W56" i="2" s="1"/>
  <c r="V26" i="2"/>
  <c r="W26" i="2" s="1"/>
  <c r="V43" i="2"/>
  <c r="W43" i="2" s="1"/>
  <c r="V158" i="2"/>
  <c r="W158" i="2" s="1"/>
  <c r="V137" i="2"/>
  <c r="W137" i="2" s="1"/>
  <c r="V70" i="2"/>
  <c r="W70" i="2" s="1"/>
  <c r="V37" i="2"/>
  <c r="W37" i="2" s="1"/>
  <c r="V41" i="2"/>
  <c r="W41" i="2" s="1"/>
  <c r="V74" i="2"/>
  <c r="W74" i="2" s="1"/>
  <c r="V27" i="2"/>
  <c r="W27" i="2" s="1"/>
  <c r="V141" i="2"/>
  <c r="W141" i="2" s="1"/>
  <c r="V31" i="2"/>
  <c r="W31" i="2" s="1"/>
  <c r="V118" i="2"/>
  <c r="W118" i="2" s="1"/>
  <c r="V139" i="2"/>
  <c r="W139" i="2" s="1"/>
  <c r="V72" i="2"/>
  <c r="W72" i="2" s="1"/>
  <c r="V80" i="2"/>
  <c r="W80" i="2" s="1"/>
  <c r="R120" i="2"/>
  <c r="U69" i="2"/>
  <c r="S40" i="2"/>
  <c r="T40" i="2" s="1"/>
  <c r="R36" i="2"/>
  <c r="S36" i="2" s="1"/>
  <c r="T36" i="2" s="1"/>
  <c r="S81" i="2"/>
  <c r="T81" i="2" s="1"/>
  <c r="Q63" i="2"/>
  <c r="R61" i="2" s="1"/>
  <c r="U60" i="2" s="1"/>
  <c r="Q112" i="2"/>
  <c r="R31" i="2"/>
  <c r="O87" i="2"/>
  <c r="E88" i="2"/>
  <c r="R49" i="2"/>
  <c r="S48" i="2" s="1"/>
  <c r="F156" i="2"/>
  <c r="F72" i="2"/>
  <c r="F84" i="2"/>
  <c r="F61" i="2"/>
  <c r="F47" i="2"/>
  <c r="F53" i="2"/>
  <c r="F154" i="2"/>
  <c r="F145" i="2"/>
  <c r="F139" i="2"/>
  <c r="F74" i="2"/>
  <c r="F76" i="2"/>
  <c r="F147" i="2"/>
  <c r="F107" i="2"/>
  <c r="F55" i="2"/>
  <c r="F65" i="2"/>
  <c r="R64" i="2" s="1"/>
  <c r="F99" i="2"/>
  <c r="F109" i="2"/>
  <c r="F124" i="2"/>
  <c r="O139" i="2"/>
  <c r="U138" i="2"/>
  <c r="O50" i="2"/>
  <c r="O49" i="2"/>
  <c r="S85" i="2"/>
  <c r="V85" i="2" s="1"/>
  <c r="W85" i="2" s="1"/>
  <c r="O154" i="2"/>
  <c r="O55" i="2"/>
  <c r="Q141" i="2"/>
  <c r="R139" i="2" s="1"/>
  <c r="Q143" i="2"/>
  <c r="R143" i="2" s="1"/>
  <c r="Q132" i="2"/>
  <c r="Q127" i="2"/>
  <c r="R127" i="2" s="1"/>
  <c r="U126" i="2" s="1"/>
  <c r="Q74" i="2"/>
  <c r="R74" i="2" s="1"/>
  <c r="U73" i="2" s="1"/>
  <c r="Q145" i="2"/>
  <c r="R145" i="2" s="1"/>
  <c r="U144" i="2" s="1"/>
  <c r="Q116" i="2"/>
  <c r="Q113" i="2"/>
  <c r="Q55" i="2"/>
  <c r="R55" i="2" s="1"/>
  <c r="U54" i="2" s="1"/>
  <c r="Q68" i="2"/>
  <c r="R68" i="2" s="1"/>
  <c r="U67" i="2" s="1"/>
  <c r="Q125" i="2"/>
  <c r="R124" i="2" s="1"/>
  <c r="U123" i="2" s="1"/>
  <c r="Q115" i="2"/>
  <c r="Q76" i="2"/>
  <c r="R76" i="2" s="1"/>
  <c r="U75" i="2" s="1"/>
  <c r="Q47" i="2"/>
  <c r="R47" i="2" s="1"/>
  <c r="U46" i="2" s="1"/>
  <c r="Q110" i="2"/>
  <c r="R109" i="2" s="1"/>
  <c r="U108" i="2" s="1"/>
  <c r="Q122" i="2"/>
  <c r="Q78" i="2"/>
  <c r="R78" i="2" s="1"/>
  <c r="U77" i="2" s="1"/>
  <c r="Q65" i="2"/>
  <c r="Q103" i="2"/>
  <c r="Q154" i="2"/>
  <c r="R154" i="2" s="1"/>
  <c r="U153" i="2" s="1"/>
  <c r="Q104" i="2"/>
  <c r="Q94" i="2"/>
  <c r="R93" i="2" s="1"/>
  <c r="U92" i="2" s="1"/>
  <c r="I158" i="2"/>
  <c r="R157" i="2" s="1"/>
  <c r="S157" i="2" s="1"/>
  <c r="I72" i="2"/>
  <c r="I135" i="2"/>
  <c r="I107" i="2"/>
  <c r="I53" i="2"/>
  <c r="I145" i="2"/>
  <c r="I139" i="2"/>
  <c r="I74" i="2"/>
  <c r="I154" i="2"/>
  <c r="I147" i="2"/>
  <c r="I33" i="2"/>
  <c r="R32" i="2" s="1"/>
  <c r="S32" i="2" s="1"/>
  <c r="T32" i="2" s="1"/>
  <c r="I97" i="2"/>
  <c r="R96" i="2" s="1"/>
  <c r="S96" i="2" s="1"/>
  <c r="I55" i="2"/>
  <c r="I115" i="2"/>
  <c r="R114" i="2" s="1"/>
  <c r="I47" i="2"/>
  <c r="I76" i="2"/>
  <c r="Q59" i="2"/>
  <c r="R59" i="2" s="1"/>
  <c r="U58" i="2" s="1"/>
  <c r="Q72" i="2"/>
  <c r="R72" i="2" s="1"/>
  <c r="U71" i="2" s="1"/>
  <c r="Q80" i="2"/>
  <c r="R80" i="2" s="1"/>
  <c r="U79" i="2" s="1"/>
  <c r="I84" i="2"/>
  <c r="F93" i="2"/>
  <c r="R92" i="2" s="1"/>
  <c r="I99" i="2"/>
  <c r="I109" i="2"/>
  <c r="F118" i="2"/>
  <c r="R117" i="2" s="1"/>
  <c r="S117" i="2" s="1"/>
  <c r="V117" i="2" s="1"/>
  <c r="W117" i="2" s="1"/>
  <c r="O145" i="2"/>
  <c r="Q147" i="2"/>
  <c r="R147" i="2" s="1"/>
  <c r="U146" i="2" s="1"/>
  <c r="O63" i="2"/>
  <c r="Q130" i="2"/>
  <c r="R130" i="2" s="1"/>
  <c r="U42" i="2"/>
  <c r="U142" i="2"/>
  <c r="F89" i="2"/>
  <c r="V97" i="1"/>
  <c r="W97" i="1" s="1"/>
  <c r="I112" i="1"/>
  <c r="F150" i="1"/>
  <c r="I31" i="1"/>
  <c r="Q76" i="1"/>
  <c r="R76" i="1" s="1"/>
  <c r="U75" i="1" s="1"/>
  <c r="Q62" i="1"/>
  <c r="Q49" i="1"/>
  <c r="Q63" i="1"/>
  <c r="I156" i="1"/>
  <c r="V23" i="1"/>
  <c r="W23" i="1" s="1"/>
  <c r="V44" i="1"/>
  <c r="W44" i="1" s="1"/>
  <c r="F101" i="1"/>
  <c r="R100" i="1" s="1"/>
  <c r="S100" i="1" s="1"/>
  <c r="T100" i="1" s="1"/>
  <c r="Q122" i="1"/>
  <c r="I78" i="1"/>
  <c r="V31" i="1"/>
  <c r="W31" i="1" s="1"/>
  <c r="V49" i="1"/>
  <c r="W49" i="1" s="1"/>
  <c r="F65" i="1"/>
  <c r="F127" i="1"/>
  <c r="Q156" i="1"/>
  <c r="R156" i="1" s="1"/>
  <c r="U155" i="1" s="1"/>
  <c r="R111" i="1"/>
  <c r="I59" i="1"/>
  <c r="R58" i="1" s="1"/>
  <c r="F99" i="1"/>
  <c r="I101" i="1"/>
  <c r="Q61" i="1"/>
  <c r="I103" i="1"/>
  <c r="F78" i="1"/>
  <c r="Q84" i="1"/>
  <c r="R84" i="1" s="1"/>
  <c r="U83" i="1" s="1"/>
  <c r="Q50" i="1"/>
  <c r="I65" i="1"/>
  <c r="Q78" i="1"/>
  <c r="R78" i="1" s="1"/>
  <c r="U77" i="1" s="1"/>
  <c r="Q116" i="1"/>
  <c r="Q139" i="1"/>
  <c r="U138" i="1" s="1"/>
  <c r="V156" i="1"/>
  <c r="W156" i="1" s="1"/>
  <c r="F29" i="1"/>
  <c r="Q43" i="1"/>
  <c r="Q56" i="1"/>
  <c r="Q68" i="1"/>
  <c r="R68" i="1" s="1"/>
  <c r="U67" i="1" s="1"/>
  <c r="F91" i="1"/>
  <c r="V104" i="1"/>
  <c r="W104" i="1" s="1"/>
  <c r="Q115" i="1"/>
  <c r="Q124" i="1"/>
  <c r="F152" i="1"/>
  <c r="V132" i="1"/>
  <c r="W132" i="1" s="1"/>
  <c r="V53" i="1"/>
  <c r="W53" i="1" s="1"/>
  <c r="I27" i="1"/>
  <c r="R26" i="1" s="1"/>
  <c r="S26" i="1" s="1"/>
  <c r="V41" i="1"/>
  <c r="W41" i="1" s="1"/>
  <c r="V78" i="1"/>
  <c r="W78" i="1" s="1"/>
  <c r="V103" i="1"/>
  <c r="W103" i="1" s="1"/>
  <c r="V27" i="1"/>
  <c r="W27" i="1" s="1"/>
  <c r="F135" i="1"/>
  <c r="I29" i="1"/>
  <c r="V43" i="1"/>
  <c r="W43" i="1" s="1"/>
  <c r="V56" i="1"/>
  <c r="W56" i="1" s="1"/>
  <c r="I70" i="1"/>
  <c r="V80" i="1"/>
  <c r="W80" i="1" s="1"/>
  <c r="I91" i="1"/>
  <c r="V124" i="1"/>
  <c r="W124" i="1" s="1"/>
  <c r="R155" i="1"/>
  <c r="I109" i="1"/>
  <c r="I127" i="1"/>
  <c r="F139" i="1"/>
  <c r="R138" i="1" s="1"/>
  <c r="O61" i="1"/>
  <c r="V25" i="1"/>
  <c r="W25" i="1" s="1"/>
  <c r="V61" i="1"/>
  <c r="W61" i="1" s="1"/>
  <c r="V84" i="1"/>
  <c r="W84" i="1" s="1"/>
  <c r="I93" i="1"/>
  <c r="R92" i="1" s="1"/>
  <c r="I118" i="1"/>
  <c r="R117" i="1" s="1"/>
  <c r="V154" i="1"/>
  <c r="W154" i="1" s="1"/>
  <c r="V125" i="1"/>
  <c r="W125" i="1" s="1"/>
  <c r="V137" i="1"/>
  <c r="W137" i="1" s="1"/>
  <c r="V72" i="1"/>
  <c r="W72" i="1" s="1"/>
  <c r="I41" i="1"/>
  <c r="I53" i="1"/>
  <c r="F97" i="1"/>
  <c r="O56" i="1"/>
  <c r="O49" i="1"/>
  <c r="Q86" i="1"/>
  <c r="Q119" i="1"/>
  <c r="Q93" i="1"/>
  <c r="Q113" i="1"/>
  <c r="Q59" i="1"/>
  <c r="R59" i="1" s="1"/>
  <c r="U58" i="1" s="1"/>
  <c r="V87" i="1"/>
  <c r="W87" i="1" s="1"/>
  <c r="F121" i="1"/>
  <c r="V127" i="1"/>
  <c r="W127" i="1" s="1"/>
  <c r="I143" i="1"/>
  <c r="V29" i="1"/>
  <c r="W29" i="1" s="1"/>
  <c r="V59" i="1"/>
  <c r="W59" i="1" s="1"/>
  <c r="I39" i="1"/>
  <c r="R38" i="1" s="1"/>
  <c r="S38" i="1" s="1"/>
  <c r="V38" i="1" s="1"/>
  <c r="W38" i="1" s="1"/>
  <c r="Q47" i="1"/>
  <c r="R47" i="1" s="1"/>
  <c r="U46" i="1" s="1"/>
  <c r="F68" i="1"/>
  <c r="F76" i="1"/>
  <c r="F89" i="1"/>
  <c r="V94" i="1"/>
  <c r="W94" i="1" s="1"/>
  <c r="V105" i="1"/>
  <c r="W105" i="1" s="1"/>
  <c r="I115" i="1"/>
  <c r="Q121" i="1"/>
  <c r="Q128" i="1"/>
  <c r="R31" i="1"/>
  <c r="O119" i="1"/>
  <c r="R36" i="1"/>
  <c r="S36" i="1" s="1"/>
  <c r="T36" i="1" s="1"/>
  <c r="Q65" i="1"/>
  <c r="Q87" i="1"/>
  <c r="Q112" i="1"/>
  <c r="Q158" i="1"/>
  <c r="R158" i="1" s="1"/>
  <c r="U157" i="1" s="1"/>
  <c r="F47" i="1"/>
  <c r="Q66" i="1"/>
  <c r="I47" i="1"/>
  <c r="V66" i="1"/>
  <c r="W66" i="1" s="1"/>
  <c r="V93" i="1"/>
  <c r="W93" i="1" s="1"/>
  <c r="V113" i="1"/>
  <c r="W113" i="1" s="1"/>
  <c r="I152" i="1"/>
  <c r="R22" i="1"/>
  <c r="S22" i="1" s="1"/>
  <c r="V37" i="1"/>
  <c r="W37" i="1" s="1"/>
  <c r="I55" i="1"/>
  <c r="Q82" i="1"/>
  <c r="R82" i="1" s="1"/>
  <c r="U81" i="1" s="1"/>
  <c r="E88" i="1"/>
  <c r="O89" i="1" s="1"/>
  <c r="O94" i="1"/>
  <c r="Q105" i="1"/>
  <c r="F115" i="1"/>
  <c r="I121" i="1"/>
  <c r="I135" i="1"/>
  <c r="V143" i="1"/>
  <c r="W143" i="1" s="1"/>
  <c r="V152" i="1"/>
  <c r="W152" i="1" s="1"/>
  <c r="V39" i="1"/>
  <c r="W39" i="1" s="1"/>
  <c r="V47" i="1"/>
  <c r="W47" i="1" s="1"/>
  <c r="Q55" i="1"/>
  <c r="F61" i="1"/>
  <c r="I68" i="1"/>
  <c r="I76" i="1"/>
  <c r="F84" i="1"/>
  <c r="I89" i="1"/>
  <c r="I107" i="1"/>
  <c r="V121" i="1"/>
  <c r="W121" i="1" s="1"/>
  <c r="V128" i="1"/>
  <c r="W128" i="1" s="1"/>
  <c r="Q45" i="1"/>
  <c r="O93" i="1"/>
  <c r="F31" i="1"/>
  <c r="F41" i="1"/>
  <c r="V55" i="1"/>
  <c r="W55" i="1" s="1"/>
  <c r="I61" i="1"/>
  <c r="I84" i="1"/>
  <c r="F109" i="1"/>
  <c r="F137" i="1"/>
  <c r="R136" i="1" s="1"/>
  <c r="S136" i="1" s="1"/>
  <c r="V136" i="1" s="1"/>
  <c r="W136" i="1" s="1"/>
  <c r="Q145" i="1"/>
  <c r="R145" i="1" s="1"/>
  <c r="U144" i="1" s="1"/>
  <c r="V34" i="1"/>
  <c r="W34" i="1" s="1"/>
  <c r="T34" i="1"/>
  <c r="O82" i="1"/>
  <c r="O91" i="1"/>
  <c r="U146" i="1"/>
  <c r="O43" i="1"/>
  <c r="O45" i="1"/>
  <c r="O147" i="1"/>
  <c r="O112" i="1"/>
  <c r="O113" i="1"/>
  <c r="O122" i="1"/>
  <c r="O125" i="1"/>
  <c r="Q91" i="1"/>
  <c r="R91" i="1" s="1"/>
  <c r="U90" i="1" s="1"/>
  <c r="Q140" i="1"/>
  <c r="F158" i="1"/>
  <c r="R157" i="1" s="1"/>
  <c r="F70" i="1"/>
  <c r="F143" i="1"/>
  <c r="F74" i="1"/>
  <c r="F55" i="1"/>
  <c r="F43" i="1"/>
  <c r="F145" i="1"/>
  <c r="F25" i="1"/>
  <c r="R24" i="1" s="1"/>
  <c r="S24" i="1" s="1"/>
  <c r="T24" i="1" s="1"/>
  <c r="V51" i="1"/>
  <c r="W51" i="1" s="1"/>
  <c r="V65" i="1"/>
  <c r="W65" i="1" s="1"/>
  <c r="V68" i="1"/>
  <c r="W68" i="1" s="1"/>
  <c r="I74" i="1"/>
  <c r="Q130" i="1"/>
  <c r="R130" i="1" s="1"/>
  <c r="V140" i="1"/>
  <c r="W140" i="1" s="1"/>
  <c r="F154" i="1"/>
  <c r="R153" i="1" s="1"/>
  <c r="O50" i="1"/>
  <c r="Q125" i="1"/>
  <c r="Q104" i="1"/>
  <c r="Q53" i="1"/>
  <c r="R53" i="1" s="1"/>
  <c r="U52" i="1" s="1"/>
  <c r="Q41" i="1"/>
  <c r="R41" i="1" s="1"/>
  <c r="U40" i="1" s="1"/>
  <c r="Q74" i="1"/>
  <c r="R74" i="1" s="1"/>
  <c r="U73" i="1" s="1"/>
  <c r="Q143" i="1"/>
  <c r="R143" i="1" s="1"/>
  <c r="Q132" i="1"/>
  <c r="Q127" i="1"/>
  <c r="Q103" i="1"/>
  <c r="O62" i="1"/>
  <c r="Q94" i="1"/>
  <c r="Q141" i="1"/>
  <c r="I154" i="1"/>
  <c r="F82" i="1"/>
  <c r="V147" i="1"/>
  <c r="W147" i="1" s="1"/>
  <c r="V145" i="1"/>
  <c r="W145" i="1" s="1"/>
  <c r="V109" i="1"/>
  <c r="W109" i="1" s="1"/>
  <c r="V116" i="1"/>
  <c r="W116" i="1" s="1"/>
  <c r="V107" i="1"/>
  <c r="W107" i="1" s="1"/>
  <c r="V50" i="1"/>
  <c r="W50" i="1" s="1"/>
  <c r="V135" i="1"/>
  <c r="W135" i="1" s="1"/>
  <c r="V101" i="1"/>
  <c r="W101" i="1" s="1"/>
  <c r="V76" i="1"/>
  <c r="W76" i="1" s="1"/>
  <c r="V62" i="1"/>
  <c r="W62" i="1" s="1"/>
  <c r="V150" i="1"/>
  <c r="W150" i="1" s="1"/>
  <c r="V86" i="1"/>
  <c r="W86" i="1" s="1"/>
  <c r="V82" i="1"/>
  <c r="W82" i="1" s="1"/>
  <c r="V57" i="1"/>
  <c r="W57" i="1" s="1"/>
  <c r="V45" i="1"/>
  <c r="W45" i="1" s="1"/>
  <c r="V122" i="1"/>
  <c r="W122" i="1" s="1"/>
  <c r="V115" i="1"/>
  <c r="W115" i="1" s="1"/>
  <c r="V33" i="1"/>
  <c r="W33" i="1" s="1"/>
  <c r="I43" i="1"/>
  <c r="F49" i="1"/>
  <c r="V63" i="1"/>
  <c r="W63" i="1" s="1"/>
  <c r="F72" i="1"/>
  <c r="I80" i="1"/>
  <c r="Q95" i="1"/>
  <c r="V99" i="1"/>
  <c r="W99" i="1" s="1"/>
  <c r="V118" i="1"/>
  <c r="W118" i="1" s="1"/>
  <c r="F124" i="1"/>
  <c r="O141" i="1"/>
  <c r="O140" i="1"/>
  <c r="Q154" i="1"/>
  <c r="R154" i="1" s="1"/>
  <c r="U153" i="1" s="1"/>
  <c r="I72" i="1"/>
  <c r="I145" i="1"/>
  <c r="I150" i="1"/>
  <c r="I147" i="1"/>
  <c r="O57" i="1"/>
  <c r="I33" i="1"/>
  <c r="R32" i="1" s="1"/>
  <c r="S32" i="1" s="1"/>
  <c r="T32" i="1" s="1"/>
  <c r="F80" i="1"/>
  <c r="Q89" i="1"/>
  <c r="R89" i="1" s="1"/>
  <c r="I99" i="1"/>
  <c r="R98" i="1" s="1"/>
  <c r="S98" i="1" s="1"/>
  <c r="Q118" i="1"/>
  <c r="F147" i="1"/>
  <c r="V21" i="1"/>
  <c r="W21" i="1" s="1"/>
  <c r="I49" i="1"/>
  <c r="O87" i="1"/>
  <c r="V89" i="1"/>
  <c r="W89" i="1" s="1"/>
  <c r="V95" i="1"/>
  <c r="W95" i="1" s="1"/>
  <c r="F103" i="1"/>
  <c r="F107" i="1"/>
  <c r="V112" i="1"/>
  <c r="W112" i="1" s="1"/>
  <c r="I124" i="1"/>
  <c r="F132" i="1"/>
  <c r="R131" i="1" s="1"/>
  <c r="T42" i="2" l="1"/>
  <c r="V42" i="2"/>
  <c r="W42" i="2" s="1"/>
  <c r="R69" i="1"/>
  <c r="S69" i="1" s="1"/>
  <c r="R77" i="2"/>
  <c r="R81" i="1"/>
  <c r="R98" i="2"/>
  <c r="S98" i="2" s="1"/>
  <c r="T98" i="2" s="1"/>
  <c r="R96" i="1"/>
  <c r="S96" i="1" s="1"/>
  <c r="V96" i="1" s="1"/>
  <c r="W96" i="1" s="1"/>
  <c r="R52" i="1"/>
  <c r="S52" i="1" s="1"/>
  <c r="R65" i="2"/>
  <c r="U64" i="2" s="1"/>
  <c r="R90" i="2"/>
  <c r="S90" i="2" s="1"/>
  <c r="R134" i="2"/>
  <c r="S134" i="2" s="1"/>
  <c r="V134" i="2" s="1"/>
  <c r="W134" i="2" s="1"/>
  <c r="R155" i="2"/>
  <c r="S155" i="2" s="1"/>
  <c r="T155" i="2" s="1"/>
  <c r="R88" i="2"/>
  <c r="S88" i="2" s="1"/>
  <c r="V88" i="2" s="1"/>
  <c r="W88" i="2" s="1"/>
  <c r="R102" i="2"/>
  <c r="T85" i="2"/>
  <c r="R24" i="2"/>
  <c r="S24" i="2" s="1"/>
  <c r="R30" i="1"/>
  <c r="R151" i="2"/>
  <c r="S151" i="2" s="1"/>
  <c r="S155" i="1"/>
  <c r="R121" i="2"/>
  <c r="U120" i="2" s="1"/>
  <c r="V136" i="2"/>
  <c r="W136" i="2" s="1"/>
  <c r="R22" i="2"/>
  <c r="S22" i="2" s="1"/>
  <c r="V34" i="2"/>
  <c r="W34" i="2" s="1"/>
  <c r="R60" i="2"/>
  <c r="R123" i="2"/>
  <c r="R149" i="1"/>
  <c r="S149" i="1" s="1"/>
  <c r="S64" i="2"/>
  <c r="T64" i="2" s="1"/>
  <c r="R100" i="2"/>
  <c r="S100" i="2" s="1"/>
  <c r="R126" i="1"/>
  <c r="R85" i="1"/>
  <c r="R142" i="2"/>
  <c r="S142" i="2"/>
  <c r="V142" i="2" s="1"/>
  <c r="W142" i="2" s="1"/>
  <c r="S30" i="2"/>
  <c r="R111" i="2"/>
  <c r="R61" i="1"/>
  <c r="U60" i="1" s="1"/>
  <c r="V28" i="2"/>
  <c r="W28" i="2" s="1"/>
  <c r="T96" i="2"/>
  <c r="V96" i="2"/>
  <c r="W96" i="2" s="1"/>
  <c r="R106" i="2"/>
  <c r="S106" i="2" s="1"/>
  <c r="S126" i="2"/>
  <c r="R75" i="2"/>
  <c r="S75" i="2" s="1"/>
  <c r="S58" i="2"/>
  <c r="T58" i="2" s="1"/>
  <c r="R54" i="2"/>
  <c r="S54" i="2" s="1"/>
  <c r="S77" i="2"/>
  <c r="R115" i="2"/>
  <c r="U114" i="2" s="1"/>
  <c r="S67" i="2"/>
  <c r="T67" i="2" s="1"/>
  <c r="V81" i="2"/>
  <c r="W81" i="2" s="1"/>
  <c r="S92" i="2"/>
  <c r="R46" i="2"/>
  <c r="S46" i="2" s="1"/>
  <c r="T48" i="2"/>
  <c r="V48" i="2"/>
  <c r="W48" i="2" s="1"/>
  <c r="T157" i="2"/>
  <c r="V157" i="2"/>
  <c r="W157" i="2" s="1"/>
  <c r="T30" i="2"/>
  <c r="V30" i="2"/>
  <c r="W30" i="2" s="1"/>
  <c r="U48" i="2"/>
  <c r="V64" i="2"/>
  <c r="W64" i="2" s="1"/>
  <c r="T149" i="2"/>
  <c r="V58" i="2"/>
  <c r="W58" i="2" s="1"/>
  <c r="S60" i="2"/>
  <c r="S79" i="2"/>
  <c r="V36" i="2"/>
  <c r="W36" i="2" s="1"/>
  <c r="O89" i="2"/>
  <c r="U88" i="2"/>
  <c r="V98" i="2"/>
  <c r="W98" i="2" s="1"/>
  <c r="R73" i="2"/>
  <c r="S73" i="2" s="1"/>
  <c r="R138" i="2"/>
  <c r="S138" i="2" s="1"/>
  <c r="R144" i="2"/>
  <c r="S144" i="2" s="1"/>
  <c r="R112" i="2"/>
  <c r="R52" i="2"/>
  <c r="S52" i="2" s="1"/>
  <c r="V69" i="2"/>
  <c r="W69" i="2" s="1"/>
  <c r="R103" i="2"/>
  <c r="S123" i="2"/>
  <c r="T117" i="2"/>
  <c r="R71" i="2"/>
  <c r="S71" i="2" s="1"/>
  <c r="R146" i="2"/>
  <c r="S146" i="2" s="1"/>
  <c r="R153" i="2"/>
  <c r="S153" i="2" s="1"/>
  <c r="S129" i="2"/>
  <c r="U129" i="2"/>
  <c r="R132" i="2"/>
  <c r="S131" i="2" s="1"/>
  <c r="U131" i="2"/>
  <c r="R83" i="2"/>
  <c r="S83" i="2" s="1"/>
  <c r="V40" i="2"/>
  <c r="W40" i="2" s="1"/>
  <c r="R108" i="2"/>
  <c r="S108" i="2" s="1"/>
  <c r="V32" i="2"/>
  <c r="W32" i="2" s="1"/>
  <c r="R124" i="1"/>
  <c r="U123" i="1" s="1"/>
  <c r="R77" i="1"/>
  <c r="S77" i="1" s="1"/>
  <c r="T77" i="1" s="1"/>
  <c r="S157" i="1"/>
  <c r="T157" i="1" s="1"/>
  <c r="R102" i="1"/>
  <c r="R139" i="1"/>
  <c r="R49" i="1"/>
  <c r="U48" i="1" s="1"/>
  <c r="R121" i="1"/>
  <c r="U120" i="1" s="1"/>
  <c r="R115" i="1"/>
  <c r="U114" i="1" s="1"/>
  <c r="R55" i="1"/>
  <c r="U54" i="1" s="1"/>
  <c r="R28" i="1"/>
  <c r="S28" i="1" s="1"/>
  <c r="V28" i="1" s="1"/>
  <c r="W28" i="1" s="1"/>
  <c r="V100" i="1"/>
  <c r="W100" i="1" s="1"/>
  <c r="R86" i="1"/>
  <c r="U85" i="1" s="1"/>
  <c r="R64" i="1"/>
  <c r="T26" i="1"/>
  <c r="V26" i="1"/>
  <c r="W26" i="1" s="1"/>
  <c r="R134" i="1"/>
  <c r="S134" i="1" s="1"/>
  <c r="T134" i="1" s="1"/>
  <c r="R43" i="1"/>
  <c r="U42" i="1" s="1"/>
  <c r="T38" i="1"/>
  <c r="R90" i="1"/>
  <c r="S90" i="1" s="1"/>
  <c r="R60" i="1"/>
  <c r="R151" i="1"/>
  <c r="S151" i="1" s="1"/>
  <c r="V151" i="1" s="1"/>
  <c r="W151" i="1" s="1"/>
  <c r="R114" i="1"/>
  <c r="R108" i="1"/>
  <c r="S108" i="1" s="1"/>
  <c r="V155" i="1"/>
  <c r="W155" i="1" s="1"/>
  <c r="T155" i="1"/>
  <c r="S138" i="1"/>
  <c r="V138" i="1" s="1"/>
  <c r="W138" i="1" s="1"/>
  <c r="R65" i="1"/>
  <c r="U64" i="1" s="1"/>
  <c r="R83" i="1"/>
  <c r="S83" i="1" s="1"/>
  <c r="V83" i="1" s="1"/>
  <c r="W83" i="1" s="1"/>
  <c r="R48" i="1"/>
  <c r="S48" i="1" s="1"/>
  <c r="V48" i="1" s="1"/>
  <c r="W48" i="1" s="1"/>
  <c r="R120" i="1"/>
  <c r="R103" i="1"/>
  <c r="U102" i="1" s="1"/>
  <c r="R40" i="1"/>
  <c r="S40" i="1" s="1"/>
  <c r="R118" i="1"/>
  <c r="U117" i="1" s="1"/>
  <c r="S153" i="1"/>
  <c r="S81" i="1"/>
  <c r="V81" i="1" s="1"/>
  <c r="W81" i="1" s="1"/>
  <c r="R71" i="1"/>
  <c r="S71" i="1" s="1"/>
  <c r="T71" i="1" s="1"/>
  <c r="S30" i="1"/>
  <c r="T30" i="1" s="1"/>
  <c r="R106" i="1"/>
  <c r="S106" i="1" s="1"/>
  <c r="T106" i="1" s="1"/>
  <c r="U88" i="1"/>
  <c r="R93" i="1"/>
  <c r="U92" i="1" s="1"/>
  <c r="V36" i="1"/>
  <c r="W36" i="1" s="1"/>
  <c r="V32" i="1"/>
  <c r="W32" i="1" s="1"/>
  <c r="S58" i="1"/>
  <c r="R144" i="1"/>
  <c r="S144" i="1" s="1"/>
  <c r="R46" i="1"/>
  <c r="S46" i="1" s="1"/>
  <c r="T46" i="1" s="1"/>
  <c r="R42" i="1"/>
  <c r="R54" i="1"/>
  <c r="R112" i="1"/>
  <c r="R127" i="1"/>
  <c r="U126" i="1" s="1"/>
  <c r="R88" i="1"/>
  <c r="S88" i="1" s="1"/>
  <c r="R75" i="1"/>
  <c r="S75" i="1" s="1"/>
  <c r="R67" i="1"/>
  <c r="S67" i="1" s="1"/>
  <c r="R146" i="1"/>
  <c r="S146" i="1" s="1"/>
  <c r="V146" i="1" s="1"/>
  <c r="W146" i="1" s="1"/>
  <c r="R142" i="1"/>
  <c r="S142" i="1" s="1"/>
  <c r="T136" i="1"/>
  <c r="T98" i="1"/>
  <c r="V98" i="1"/>
  <c r="W98" i="1" s="1"/>
  <c r="R132" i="1"/>
  <c r="S131" i="1" s="1"/>
  <c r="U131" i="1"/>
  <c r="U142" i="1"/>
  <c r="V149" i="1"/>
  <c r="W149" i="1" s="1"/>
  <c r="T149" i="1"/>
  <c r="V22" i="1"/>
  <c r="W22" i="1" s="1"/>
  <c r="T22" i="1"/>
  <c r="R73" i="1"/>
  <c r="S73" i="1" s="1"/>
  <c r="R79" i="1"/>
  <c r="S79" i="1" s="1"/>
  <c r="T69" i="1"/>
  <c r="V69" i="1"/>
  <c r="W69" i="1" s="1"/>
  <c r="U129" i="1"/>
  <c r="S129" i="1"/>
  <c r="V24" i="1"/>
  <c r="W24" i="1" s="1"/>
  <c r="R123" i="1"/>
  <c r="T90" i="2" l="1"/>
  <c r="V90" i="2"/>
  <c r="W90" i="2" s="1"/>
  <c r="V157" i="1"/>
  <c r="W157" i="1" s="1"/>
  <c r="T22" i="2"/>
  <c r="V22" i="2"/>
  <c r="W22" i="2" s="1"/>
  <c r="T100" i="2"/>
  <c r="V100" i="2"/>
  <c r="W100" i="2" s="1"/>
  <c r="V77" i="1"/>
  <c r="W77" i="1" s="1"/>
  <c r="T134" i="2"/>
  <c r="S120" i="2"/>
  <c r="V120" i="2" s="1"/>
  <c r="W120" i="2" s="1"/>
  <c r="T151" i="2"/>
  <c r="V151" i="2"/>
  <c r="W151" i="2" s="1"/>
  <c r="T24" i="2"/>
  <c r="V24" i="2"/>
  <c r="W24" i="2" s="1"/>
  <c r="T96" i="1"/>
  <c r="T88" i="2"/>
  <c r="V155" i="2"/>
  <c r="W155" i="2" s="1"/>
  <c r="T142" i="2"/>
  <c r="S60" i="1"/>
  <c r="V67" i="2"/>
  <c r="W67" i="2" s="1"/>
  <c r="S114" i="2"/>
  <c r="T114" i="2" s="1"/>
  <c r="T77" i="2"/>
  <c r="V77" i="2"/>
  <c r="W77" i="2" s="1"/>
  <c r="T54" i="2"/>
  <c r="V54" i="2"/>
  <c r="W54" i="2" s="1"/>
  <c r="T106" i="2"/>
  <c r="V106" i="2"/>
  <c r="W106" i="2" s="1"/>
  <c r="T92" i="2"/>
  <c r="V92" i="2"/>
  <c r="W92" i="2" s="1"/>
  <c r="T126" i="2"/>
  <c r="V126" i="2"/>
  <c r="W126" i="2" s="1"/>
  <c r="T79" i="2"/>
  <c r="V79" i="2"/>
  <c r="W79" i="2" s="1"/>
  <c r="U102" i="2"/>
  <c r="S102" i="2"/>
  <c r="T108" i="2"/>
  <c r="V108" i="2"/>
  <c r="W108" i="2" s="1"/>
  <c r="T52" i="2"/>
  <c r="V52" i="2"/>
  <c r="W52" i="2" s="1"/>
  <c r="T138" i="2"/>
  <c r="V138" i="2"/>
  <c r="W138" i="2" s="1"/>
  <c r="V153" i="2"/>
  <c r="W153" i="2" s="1"/>
  <c r="T153" i="2"/>
  <c r="T83" i="2"/>
  <c r="V83" i="2"/>
  <c r="W83" i="2" s="1"/>
  <c r="T73" i="2"/>
  <c r="V73" i="2"/>
  <c r="W73" i="2" s="1"/>
  <c r="T60" i="2"/>
  <c r="V60" i="2"/>
  <c r="W60" i="2" s="1"/>
  <c r="U111" i="2"/>
  <c r="S111" i="2"/>
  <c r="T129" i="2"/>
  <c r="V129" i="2"/>
  <c r="W129" i="2" s="1"/>
  <c r="T146" i="2"/>
  <c r="V146" i="2"/>
  <c r="W146" i="2" s="1"/>
  <c r="T46" i="2"/>
  <c r="V46" i="2"/>
  <c r="W46" i="2" s="1"/>
  <c r="T123" i="2"/>
  <c r="V123" i="2"/>
  <c r="W123" i="2" s="1"/>
  <c r="T144" i="2"/>
  <c r="V144" i="2"/>
  <c r="W144" i="2" s="1"/>
  <c r="T131" i="2"/>
  <c r="V131" i="2"/>
  <c r="W131" i="2" s="1"/>
  <c r="T75" i="2"/>
  <c r="V75" i="2"/>
  <c r="W75" i="2" s="1"/>
  <c r="T71" i="2"/>
  <c r="V71" i="2"/>
  <c r="W71" i="2" s="1"/>
  <c r="S123" i="1"/>
  <c r="V123" i="1" s="1"/>
  <c r="W123" i="1" s="1"/>
  <c r="S120" i="1"/>
  <c r="V120" i="1" s="1"/>
  <c r="W120" i="1" s="1"/>
  <c r="S85" i="1"/>
  <c r="V85" i="1" s="1"/>
  <c r="W85" i="1" s="1"/>
  <c r="S42" i="1"/>
  <c r="V42" i="1" s="1"/>
  <c r="W42" i="1" s="1"/>
  <c r="S114" i="1"/>
  <c r="T114" i="1" s="1"/>
  <c r="T120" i="1"/>
  <c r="T151" i="1"/>
  <c r="S54" i="1"/>
  <c r="T54" i="1" s="1"/>
  <c r="S102" i="1"/>
  <c r="V134" i="1"/>
  <c r="W134" i="1" s="1"/>
  <c r="T28" i="1"/>
  <c r="V90" i="1"/>
  <c r="W90" i="1" s="1"/>
  <c r="T90" i="1"/>
  <c r="T83" i="1"/>
  <c r="T138" i="1"/>
  <c r="S64" i="1"/>
  <c r="T64" i="1" s="1"/>
  <c r="S117" i="1"/>
  <c r="V117" i="1" s="1"/>
  <c r="W117" i="1" s="1"/>
  <c r="T48" i="1"/>
  <c r="V71" i="1"/>
  <c r="W71" i="1" s="1"/>
  <c r="V106" i="1"/>
  <c r="W106" i="1" s="1"/>
  <c r="T81" i="1"/>
  <c r="T146" i="1"/>
  <c r="S92" i="1"/>
  <c r="V92" i="1" s="1"/>
  <c r="W92" i="1" s="1"/>
  <c r="V30" i="1"/>
  <c r="W30" i="1" s="1"/>
  <c r="T153" i="1"/>
  <c r="V153" i="1"/>
  <c r="W153" i="1" s="1"/>
  <c r="U111" i="1"/>
  <c r="S111" i="1"/>
  <c r="V144" i="1"/>
  <c r="W144" i="1" s="1"/>
  <c r="T144" i="1"/>
  <c r="V58" i="1"/>
  <c r="W58" i="1" s="1"/>
  <c r="T58" i="1"/>
  <c r="T75" i="1"/>
  <c r="V75" i="1"/>
  <c r="W75" i="1" s="1"/>
  <c r="S126" i="1"/>
  <c r="V126" i="1" s="1"/>
  <c r="W126" i="1" s="1"/>
  <c r="V46" i="1"/>
  <c r="W46" i="1" s="1"/>
  <c r="T67" i="1"/>
  <c r="V67" i="1"/>
  <c r="W67" i="1" s="1"/>
  <c r="V142" i="1"/>
  <c r="W142" i="1" s="1"/>
  <c r="T142" i="1"/>
  <c r="V102" i="1"/>
  <c r="W102" i="1" s="1"/>
  <c r="T102" i="1"/>
  <c r="V131" i="1"/>
  <c r="W131" i="1" s="1"/>
  <c r="T131" i="1"/>
  <c r="V73" i="1"/>
  <c r="W73" i="1" s="1"/>
  <c r="T73" i="1"/>
  <c r="T129" i="1"/>
  <c r="V129" i="1"/>
  <c r="W129" i="1" s="1"/>
  <c r="T40" i="1"/>
  <c r="V40" i="1"/>
  <c r="W40" i="1" s="1"/>
  <c r="T79" i="1"/>
  <c r="V79" i="1"/>
  <c r="W79" i="1" s="1"/>
  <c r="V52" i="1"/>
  <c r="W52" i="1" s="1"/>
  <c r="T52" i="1"/>
  <c r="T88" i="1"/>
  <c r="V88" i="1"/>
  <c r="W88" i="1" s="1"/>
  <c r="V108" i="1"/>
  <c r="W108" i="1" s="1"/>
  <c r="T108" i="1"/>
  <c r="T85" i="1" l="1"/>
  <c r="T120" i="2"/>
  <c r="V60" i="1"/>
  <c r="W60" i="1" s="1"/>
  <c r="T60" i="1"/>
  <c r="V114" i="2"/>
  <c r="W114" i="2" s="1"/>
  <c r="T111" i="2"/>
  <c r="V111" i="2"/>
  <c r="W111" i="2" s="1"/>
  <c r="T102" i="2"/>
  <c r="V102" i="2"/>
  <c r="W102" i="2" s="1"/>
  <c r="T123" i="1"/>
  <c r="V114" i="1"/>
  <c r="W114" i="1" s="1"/>
  <c r="T42" i="1"/>
  <c r="V64" i="1"/>
  <c r="W64" i="1" s="1"/>
  <c r="V54" i="1"/>
  <c r="W54" i="1" s="1"/>
  <c r="T126" i="1"/>
  <c r="T92" i="1"/>
  <c r="T117" i="1"/>
  <c r="V111" i="1"/>
  <c r="W111" i="1" s="1"/>
  <c r="T111" i="1"/>
  <c r="W159" i="2" l="1"/>
  <c r="W160" i="2" s="1"/>
  <c r="W159" i="1"/>
  <c r="W160" i="1" s="1"/>
  <c r="W161" i="1" s="1"/>
  <c r="W163" i="1" s="1"/>
  <c r="W164" i="1" s="1"/>
  <c r="W165" i="1" s="1"/>
  <c r="W166" i="1" s="1"/>
  <c r="Z166" i="1" s="1"/>
  <c r="W161" i="2" l="1"/>
  <c r="W163" i="2" s="1"/>
  <c r="W164" i="2" s="1"/>
  <c r="W165" i="2" s="1"/>
  <c r="W166" i="2" s="1"/>
</calcChain>
</file>

<file path=xl/sharedStrings.xml><?xml version="1.0" encoding="utf-8"?>
<sst xmlns="http://schemas.openxmlformats.org/spreadsheetml/2006/main" count="690" uniqueCount="271">
  <si>
    <t>Ծավալաթերթ-Նախահաշիվ</t>
  </si>
  <si>
    <t>Սնող գազատար</t>
  </si>
  <si>
    <t>Հիմք</t>
  </si>
  <si>
    <t xml:space="preserve">№ </t>
  </si>
  <si>
    <t>Նախահաշվային արժեքը</t>
  </si>
  <si>
    <t>հազ. դրամ</t>
  </si>
  <si>
    <t xml:space="preserve">Միջին աշխատավարձը </t>
  </si>
  <si>
    <t>դրամ</t>
  </si>
  <si>
    <t>Նյութեր</t>
  </si>
  <si>
    <t>-</t>
  </si>
  <si>
    <t xml:space="preserve">Անցումային գործակիցները: 
</t>
  </si>
  <si>
    <t>աշխատավարձի -</t>
  </si>
  <si>
    <t>մեքենաների շահագործման -</t>
  </si>
  <si>
    <t xml:space="preserve">Հ/Հ
</t>
  </si>
  <si>
    <t>Շիֆր, նորմատիվի համար</t>
  </si>
  <si>
    <t xml:space="preserve">Աշխատանքների անվանումը </t>
  </si>
  <si>
    <t>Չափման միավորը</t>
  </si>
  <si>
    <t>Քանակը</t>
  </si>
  <si>
    <t>Աշխատավարձի միավորը ռուբ./հազար դրամ</t>
  </si>
  <si>
    <t xml:space="preserve">Մեքեն.շահագործման միավորը ռուբ./հազար դրամ </t>
  </si>
  <si>
    <t>Նյութեր անվանումը (հազար դրամ)</t>
  </si>
  <si>
    <t>Միավորի արժեքը հազար դրամ</t>
  </si>
  <si>
    <t>Միավորի ընդհանուր արժեքը  հազար դրամ</t>
  </si>
  <si>
    <t>Ընդհանուր արժեքը հազար դրամ</t>
  </si>
  <si>
    <t xml:space="preserve">Նյութերի ընդհանուրի արժեքը հազար դրամ </t>
  </si>
  <si>
    <t>Միավորի ընդհանուր արժեքը հազար դրամ</t>
  </si>
  <si>
    <t>Ընդհանուր արժեքը արտահայտված տոկոսով</t>
  </si>
  <si>
    <t>Նյութերի անվանումը</t>
  </si>
  <si>
    <t>չափման միավորը</t>
  </si>
  <si>
    <t xml:space="preserve">Քանակը միավորի համար </t>
  </si>
  <si>
    <t xml:space="preserve">Նյութերի ընդհանուր ծախսը </t>
  </si>
  <si>
    <t>Նյութերի միավորի արժեքը  (Գ)</t>
  </si>
  <si>
    <t>5</t>
  </si>
  <si>
    <t>6</t>
  </si>
  <si>
    <t>Կառնուտ բնակավայր ց/ճ գազատար</t>
  </si>
  <si>
    <t>1-1551</t>
  </si>
  <si>
    <t>Խրամուղու քանդում III կարգի գրունտներում էքսկավատորով</t>
  </si>
  <si>
    <r>
      <t>մ</t>
    </r>
    <r>
      <rPr>
        <vertAlign val="superscript"/>
        <sz val="9"/>
        <rFont val="Sylfaen"/>
        <family val="1"/>
      </rPr>
      <t>3</t>
    </r>
  </si>
  <si>
    <t>1-1552</t>
  </si>
  <si>
    <t>Խրամուղու քանդում IV կարգի գրունտներում էքսկավատորով</t>
  </si>
  <si>
    <t>1-1553</t>
  </si>
  <si>
    <t>Խրամուղու քանդում V կարգի գրունտներում էքսկավատորով</t>
  </si>
  <si>
    <t>1-991</t>
  </si>
  <si>
    <t>Խրամուղու  քանդում V կարգի գրունտներում հարվածահատ մուրճով</t>
  </si>
  <si>
    <t>1-1550</t>
  </si>
  <si>
    <t>0.1մ  նստաշերտի  ստեղծում խողովակի տակ և ծածկում 0.2մ (ավազ առանց խառնուրդի) էքսկավատորով</t>
  </si>
  <si>
    <t>ավազ</t>
  </si>
  <si>
    <t>Գ III</t>
  </si>
  <si>
    <t>Ավազի տեղափոխում 3 կմ-ից</t>
  </si>
  <si>
    <t>տն</t>
  </si>
  <si>
    <t>1-1635</t>
  </si>
  <si>
    <t>Խրամուղու ետլիցք III կարգի գրունտներում բուլդոզերով</t>
  </si>
  <si>
    <t>1-1593</t>
  </si>
  <si>
    <t>Ավելորդ գրունտի  բարձում  էքսկավատորով ինքնաթափ</t>
  </si>
  <si>
    <t>Տեղափոխում 3 կմ</t>
  </si>
  <si>
    <t>22-87</t>
  </si>
  <si>
    <t>մ</t>
  </si>
  <si>
    <t>խողովակ Ø89x4մմ</t>
  </si>
  <si>
    <t>22-237</t>
  </si>
  <si>
    <t>Խողովակների հակակոռոզիոն մեկուսացում «ПИК» տիպի մեկուսիչ նյութերով  dպ-80մմ</t>
  </si>
  <si>
    <t>Ժապավ. պոլիմ. (Прима)150մմ</t>
  </si>
  <si>
    <t>կգ</t>
  </si>
  <si>
    <t>Ժապավ. տեքստ. (Прима-Т)150մմ</t>
  </si>
  <si>
    <t>Պրայմեր (ПРИЗ)</t>
  </si>
  <si>
    <t>22-88</t>
  </si>
  <si>
    <t>խողովակ Ø108x4մմ</t>
  </si>
  <si>
    <t>22-238</t>
  </si>
  <si>
    <t>Խողովակների հակակոռոզիոն մեկուսացում «ПИК» տիպի մեկուսիչ նյութերով dպ-100մմ</t>
  </si>
  <si>
    <t>22-89</t>
  </si>
  <si>
    <t xml:space="preserve">Պողպատե պատյանի տեղադրում  խրամուղում Ø133x4մմ </t>
  </si>
  <si>
    <t>խողովակ Ø133x4մմ</t>
  </si>
  <si>
    <t>22-239</t>
  </si>
  <si>
    <t>Պատյանների հակակոռոզիոն մեկուսացում «ПИК» տիպի մեկուսիչ նյութերով  dպ125մմ</t>
  </si>
  <si>
    <t>22-90</t>
  </si>
  <si>
    <t xml:space="preserve">Պողպատե պատյանի տեղադրում  խրամուղում Ø159x4.5մմ </t>
  </si>
  <si>
    <t>խողովակ Ø159x4.5մմ</t>
  </si>
  <si>
    <t>22-240</t>
  </si>
  <si>
    <t>Պատյանների հակակոռոզիոն մեկուսացում «ПИК» տիպի մեկուսիչ նյութերով  dպ150մմ</t>
  </si>
  <si>
    <t>22-511   գ-0,15 կիրառ.</t>
  </si>
  <si>
    <t>Պողպատե պատյանի ծայրերի հերմետիկացում բիտումով</t>
  </si>
  <si>
    <t>հատ</t>
  </si>
  <si>
    <t>բիտում</t>
  </si>
  <si>
    <t>պակլյա</t>
  </si>
  <si>
    <t>22-91</t>
  </si>
  <si>
    <t xml:space="preserve">խողովակ Ø219x6մմ  </t>
  </si>
  <si>
    <t xml:space="preserve">Պողպատե գազատար խողովակների վերգետնյա  տեղադրում փորձարկումով Ø159x4.5մմ  
</t>
  </si>
  <si>
    <t xml:space="preserve">խողովակ Ø159x4.5մմ  </t>
  </si>
  <si>
    <t xml:space="preserve">խողովակ Ø133x4մմ  </t>
  </si>
  <si>
    <t xml:space="preserve">խողովակ Ø108x4մմ  </t>
  </si>
  <si>
    <t xml:space="preserve">խողովակ Ø89x4մմ  </t>
  </si>
  <si>
    <t xml:space="preserve">խողովակ Ø76x3.5մմ  </t>
  </si>
  <si>
    <t>22-86</t>
  </si>
  <si>
    <t xml:space="preserve">խողովակ Ø57x3.5մմ  </t>
  </si>
  <si>
    <t>25-392</t>
  </si>
  <si>
    <t>Գազատարի փչամաքրում</t>
  </si>
  <si>
    <t>գմ</t>
  </si>
  <si>
    <t>կմ</t>
  </si>
  <si>
    <t xml:space="preserve">25-473   </t>
  </si>
  <si>
    <t>Զոդակարերի ստուգում ֆիզիկական եղանակով</t>
  </si>
  <si>
    <t>13-121   
գ-2</t>
  </si>
  <si>
    <t>Հենասյուների և գազատարի մակերևույթների նախաներկում  ГФ -021 2 շերտով</t>
  </si>
  <si>
    <r>
      <t>մ</t>
    </r>
    <r>
      <rPr>
        <vertAlign val="superscript"/>
        <sz val="9"/>
        <rFont val="Sylfaen"/>
        <family val="1"/>
      </rPr>
      <t>2</t>
    </r>
  </si>
  <si>
    <t>լուծիչ</t>
  </si>
  <si>
    <t xml:space="preserve">նախաներկ ГФ - 021   </t>
  </si>
  <si>
    <t>15-613</t>
  </si>
  <si>
    <t>Հենասյուների և գազատարի յուղաներկում երկու անգամ</t>
  </si>
  <si>
    <t>յուղաներկ</t>
  </si>
  <si>
    <t>22-362</t>
  </si>
  <si>
    <t>Ձևավոր մասերի տեղադրում  (արմունկ, եռաբաշխիչ, անցում, խցափակիչ)</t>
  </si>
  <si>
    <t>Ձևավոր մասեր</t>
  </si>
  <si>
    <t>9-153</t>
  </si>
  <si>
    <t>Անշարժ հենարանների տեղադրում</t>
  </si>
  <si>
    <t>Պողպ. կոնստրուկցիաներ</t>
  </si>
  <si>
    <t>էլեկտրոդ</t>
  </si>
  <si>
    <t>հեղյուս, մանեկ</t>
  </si>
  <si>
    <t>1-965</t>
  </si>
  <si>
    <t xml:space="preserve">Փոսերի քանդում III կարգի գրունտներում ձեռքով մետաղական հենասյունների համար </t>
  </si>
  <si>
    <t>1-966</t>
  </si>
  <si>
    <t xml:space="preserve">Փոսերի քանդում IV կարգի գրունտներում ձեռքով մետաղական հենասյունների համար  </t>
  </si>
  <si>
    <t>Փոսերի քանդում V կարգի գրունտներում հարվածահատ մուրճով</t>
  </si>
  <si>
    <t>6-13</t>
  </si>
  <si>
    <t>Բետոնե հիմքեր  միաձույլ բետոնից  B12.5 (M150) մետաղական հենասյունների համար</t>
  </si>
  <si>
    <t>բետոն B-12.5</t>
  </si>
  <si>
    <r>
      <t>մ</t>
    </r>
    <r>
      <rPr>
        <vertAlign val="superscript"/>
        <sz val="8"/>
        <rFont val="Sylfaen"/>
        <family val="1"/>
      </rPr>
      <t>3</t>
    </r>
  </si>
  <si>
    <t>վահան</t>
  </si>
  <si>
    <r>
      <t>մ</t>
    </r>
    <r>
      <rPr>
        <vertAlign val="superscript"/>
        <sz val="8"/>
        <rFont val="Sylfaen"/>
        <family val="1"/>
      </rPr>
      <t>2</t>
    </r>
  </si>
  <si>
    <t>տախտակ</t>
  </si>
  <si>
    <t>C310-5   տ.մ.կ 29</t>
  </si>
  <si>
    <t xml:space="preserve">Ավելորդ գրունտի  բարձում ինքնաթափ, ձեռքով  տեղափոխում 3կմ  </t>
  </si>
  <si>
    <t>Հենարանների տեղադրում պողպատե խողովակներից d=159x3.5մմ</t>
  </si>
  <si>
    <t>Պողպատե խողովակներ</t>
  </si>
  <si>
    <t>Հենարանների տեղադրում պողպատե խողովակներից d=133x3.0մմ</t>
  </si>
  <si>
    <t>Հենարանների տեղադրում պողպատե խողովակներից d=108x3.0մմ</t>
  </si>
  <si>
    <t>Հենարանների տեղադրում պողպատե խողովակներից d=89x3.0մմ</t>
  </si>
  <si>
    <t>Հենարանների տեղադրում պողպատե խողովակներից d=76x3մմ</t>
  </si>
  <si>
    <t>Հենարանների տեղադրում պողպատե խողովակներից d=57x3մմ</t>
  </si>
  <si>
    <t>Կիսախողովակների տեղադրում գազախողովակների տակ</t>
  </si>
  <si>
    <t>՝</t>
  </si>
  <si>
    <t>շուկա</t>
  </si>
  <si>
    <t xml:space="preserve">Պարոնիտի տեղադրում </t>
  </si>
  <si>
    <t>Պարոնիտ</t>
  </si>
  <si>
    <t>6-82</t>
  </si>
  <si>
    <t>Մետաղական շինվածքների տեղադրում  հենարանների հիմքերի համար (թիթեղ)</t>
  </si>
  <si>
    <t>Պողպատյա թիթեղ</t>
  </si>
  <si>
    <t>1-962</t>
  </si>
  <si>
    <t>Փոսերի  քանդում IV կարգի գրունտներում ձեռքով</t>
  </si>
  <si>
    <t xml:space="preserve"> </t>
  </si>
  <si>
    <t>1-970</t>
  </si>
  <si>
    <t>Ավելորդ գրունտի հարթեցում տեղում ձեռքով</t>
  </si>
  <si>
    <t>9-131</t>
  </si>
  <si>
    <t>Մետաղական պաշտպանիչ ցանցի կառուցում</t>
  </si>
  <si>
    <t>շին. հեղյուս</t>
  </si>
  <si>
    <t>8-52-1</t>
  </si>
  <si>
    <t>Մեկուսիչների  տեղադրում ШСА-10А</t>
  </si>
  <si>
    <t xml:space="preserve">հատ </t>
  </si>
  <si>
    <t>Մեկուսիչներ</t>
  </si>
  <si>
    <t>8-471-2</t>
  </si>
  <si>
    <t>Ուղահայաց հողանցում (էլեկտրոդը անկյունավոր պողպատից 63x63x5մմ)</t>
  </si>
  <si>
    <t>անկյունակ 63x63x5մմ</t>
  </si>
  <si>
    <t>8-472-6</t>
  </si>
  <si>
    <t>Հորիզոնական հողանցում (40х4մմ շերտապողպատից)</t>
  </si>
  <si>
    <t xml:space="preserve">պողպատ շերտ. 40х4մմ </t>
  </si>
  <si>
    <t>Հողանցում 4 կոմպլեկտ</t>
  </si>
  <si>
    <t>Փոսերի քանդում IV կարգի գրունտում, ձեռքով</t>
  </si>
  <si>
    <t>1-969</t>
  </si>
  <si>
    <t>Փոսերի ետլիցք III կարգի գրունտներում ձեռքով</t>
  </si>
  <si>
    <t>8-471-1</t>
  </si>
  <si>
    <t>Ուղահայաց հողանցում
(էլեկտրոդը անկյունավոր պողպատից 50x5մմ)</t>
  </si>
  <si>
    <t>անկյունակ 50x5մմ</t>
  </si>
  <si>
    <t>Հորիզոնական հողանցում
(40х4մմ շերտապողպատից)</t>
  </si>
  <si>
    <t>8-471-3</t>
  </si>
  <si>
    <t>Ուղահայաց հողանցում
(կլոր պողպատից d-12մմ)</t>
  </si>
  <si>
    <t>պողպատ</t>
  </si>
  <si>
    <t xml:space="preserve">Ընդամենը </t>
  </si>
  <si>
    <t>Շահույթ</t>
  </si>
  <si>
    <t>Ընդամենը</t>
  </si>
  <si>
    <t xml:space="preserve">Սարքավորում </t>
  </si>
  <si>
    <t>ԱԱՀ</t>
  </si>
  <si>
    <t>Ընդամենը նախահաշվով</t>
  </si>
  <si>
    <t>տեղադրման, տեղափոխման, պահեստավորման և այլ նյութերի արժեքը</t>
  </si>
  <si>
    <t xml:space="preserve">Պողպատե գազատար խողովակների տեղադրում փորձարկումով Ø89x4մմ  </t>
  </si>
  <si>
    <t xml:space="preserve">Պողպատե գազատար խողովակների տեղադրում փորձարկումով Ø108x4մմ  </t>
  </si>
  <si>
    <t xml:space="preserve">Պողպատե գազատար խողովակների վերգետնյա տեղադրում փորձարկումով Ø219x6մմ  </t>
  </si>
  <si>
    <t xml:space="preserve">Պողպատե գազատար խողովակների վերգետնյա  տեղադրում փորձարկումով Ø133x4մմ  </t>
  </si>
  <si>
    <t xml:space="preserve">Պողպատե գազատար խողովակների վերգետնյա  տեղադրում փորձարկումով Ø108x4մմ  </t>
  </si>
  <si>
    <t xml:space="preserve">Պողպատե գազատար խողովակների վերգետնյա  տեղադրում փորձարկումով Ø89x4մմ  </t>
  </si>
  <si>
    <t xml:space="preserve">Պողպատե գազատար խողովակների վերգետնյա  տեղադրում փորձարկումով  Ø76x3.5մմ  </t>
  </si>
  <si>
    <t xml:space="preserve">Պողպատե գազատար խողովակների վերգետնյա տեղադրում փորձարկումով Ø57x3.5մմ </t>
  </si>
  <si>
    <t>Մետաղական պաշտպանիչ ցանց  տեղ 10</t>
  </si>
  <si>
    <t>Объем-лист смета</t>
  </si>
  <si>
    <t xml:space="preserve">№ п/п
</t>
  </si>
  <si>
    <t>Наименование работ и затрат</t>
  </si>
  <si>
    <t>Единица измерения</t>
  </si>
  <si>
    <t>Количество</t>
  </si>
  <si>
    <t>Общая стоимость единицы, тысяча драм</t>
  </si>
  <si>
    <t>Общая стоимость процентами</t>
  </si>
  <si>
    <t>Разработка траншеи экскаватором в грунтах III кат.</t>
  </si>
  <si>
    <r>
      <t>м</t>
    </r>
    <r>
      <rPr>
        <vertAlign val="superscript"/>
        <sz val="9"/>
        <rFont val="Sylfaen"/>
        <family val="1"/>
      </rPr>
      <t>3</t>
    </r>
  </si>
  <si>
    <t>Разработка траншеи экскаватором в грунтах IV кат.</t>
  </si>
  <si>
    <t>Разработка траншеи экскаватором в грунтах V кат.</t>
  </si>
  <si>
    <t>Разработка траншеи вручную отбойным молотком в грунтах V гр.</t>
  </si>
  <si>
    <t xml:space="preserve">Устройство подушки под трубу  из мягкого грунта толщ. 10см (песок без примесей) и обсыпка сверху толщ. 20 см экскаватором 
</t>
  </si>
  <si>
    <t>Привоз песка с расстояния 15км</t>
  </si>
  <si>
    <t>тн</t>
  </si>
  <si>
    <t>Обратная засыпка  траншеи  бульдозером  в грунтах III кат.</t>
  </si>
  <si>
    <t>Погрузка лишнего грунта  в автосамосвалы</t>
  </si>
  <si>
    <r>
      <t>м</t>
    </r>
    <r>
      <rPr>
        <vertAlign val="superscript"/>
        <sz val="9"/>
        <rFont val="Times New Roman"/>
        <family val="1"/>
      </rPr>
      <t>3</t>
    </r>
  </si>
  <si>
    <t>Перевозка на расстояние 5км</t>
  </si>
  <si>
    <t xml:space="preserve">Монтаж газопровода в траншее с испытанием Ø89x4мм  
</t>
  </si>
  <si>
    <t>пм</t>
  </si>
  <si>
    <t>Противокоррозионнօе покрытие комплектом изоляционных материалов «ПИК» газопровода dу-80мм</t>
  </si>
  <si>
    <t xml:space="preserve">Монтаж газопровода в траншее с испытанием Ø108x4мм  
</t>
  </si>
  <si>
    <t>Противокоррозионнօе покрытие комплектом изоляционных материалов «ПИК» газопровода dу-100мм</t>
  </si>
  <si>
    <t xml:space="preserve">Монтаж стального футляра  в траншее Ø133x4мм </t>
  </si>
  <si>
    <t>Противокоррозионная изоляция футляра покрытием комплектом изоляционных материалов «ПИК» dу125мм</t>
  </si>
  <si>
    <t xml:space="preserve">Монтаж стального футляра  в траншее Ø159x4.5мм </t>
  </si>
  <si>
    <t>Противокоррозионная изоляция футляра покрытием комплектом изоляционных материалов «ПИК» dу150мм</t>
  </si>
  <si>
    <t>Заделка концов футляра газопровода битумом</t>
  </si>
  <si>
    <t>шт</t>
  </si>
  <si>
    <t xml:space="preserve">Монтаж надземного газопровода с испытанием Ø219x6мм  
</t>
  </si>
  <si>
    <t xml:space="preserve">Монтаж надземного газопровода с испытанием Ø159x4.5мм  
</t>
  </si>
  <si>
    <t xml:space="preserve">Монтаж надземного газопровода с испытанием Ø133x4мм  
</t>
  </si>
  <si>
    <t xml:space="preserve">Монтаж надземного газопровода с испытанием Ø108x4мм  
</t>
  </si>
  <si>
    <t xml:space="preserve">Монтаж надземного газопровода с испытанием Ø89x4мм  
</t>
  </si>
  <si>
    <t xml:space="preserve">Монтаж надземного газопровода с испытанием  Ø76x3.5мм  
</t>
  </si>
  <si>
    <t xml:space="preserve">Монтаж надземного газопровода с испытанием Ø57x3.5мм 
</t>
  </si>
  <si>
    <t>Продувка газопровода</t>
  </si>
  <si>
    <t>Просвечивание сварных стыков газопровода  методом радиография</t>
  </si>
  <si>
    <t>Грунтовка газопровода и стоек грунтовкой  ГФ – 021  2 раза</t>
  </si>
  <si>
    <r>
      <t>м</t>
    </r>
    <r>
      <rPr>
        <vertAlign val="superscript"/>
        <sz val="9"/>
        <rFont val="Sylfaen"/>
        <family val="1"/>
      </rPr>
      <t>2</t>
    </r>
  </si>
  <si>
    <t>Окраска газопровода и стоек антикоррозионной масляной краской 2 раза</t>
  </si>
  <si>
    <r>
      <t>м</t>
    </r>
    <r>
      <rPr>
        <vertAlign val="superscript"/>
        <sz val="9"/>
        <rFont val="Times New Roman"/>
        <family val="1"/>
      </rPr>
      <t>2</t>
    </r>
  </si>
  <si>
    <t>Установка фасонных частей  (отвод 90°, тройник, переход, заглушка)</t>
  </si>
  <si>
    <t>кг</t>
  </si>
  <si>
    <t>Монтаж неподвижных опор</t>
  </si>
  <si>
    <t>Рытье ям вручную для стоек в грунтах III кат.</t>
  </si>
  <si>
    <t>Рытье ям вручную для стоек в грунтах IV кат.</t>
  </si>
  <si>
    <t>Рытье ям вручную отбойным молотком в грунтах V кат.</t>
  </si>
  <si>
    <t>Бетонный фундамент под опоры  из бетона марки B-12.5 (M150) класса</t>
  </si>
  <si>
    <t xml:space="preserve">Погрузка разработанного  грунта вручную в автосамосвалы, перевозка на расстояние  5км </t>
  </si>
  <si>
    <t>Установка металлических стоек d=159x4мм</t>
  </si>
  <si>
    <t>Установка металлических стоек d=133x3.5мм</t>
  </si>
  <si>
    <t>Установка металлических стоек d=108x3.5мм</t>
  </si>
  <si>
    <t>Установка металлических стоек d=89x3.5мм</t>
  </si>
  <si>
    <t>Установка металлических стоек d=76x3мм</t>
  </si>
  <si>
    <t>Установка металлических стоек d=57x3мм</t>
  </si>
  <si>
    <t>Установка металлических чаш под газопровод</t>
  </si>
  <si>
    <t>Паронит</t>
  </si>
  <si>
    <t>Установка металлического листа  под опоры</t>
  </si>
  <si>
    <t xml:space="preserve"> Металлическая защитная сетка     мест</t>
  </si>
  <si>
    <t>Рытье ям вручную в грунтах IV категории</t>
  </si>
  <si>
    <t>Разравнивание лишнего грунта на месте</t>
  </si>
  <si>
    <t>Осуществление металлической защитной сетки</t>
  </si>
  <si>
    <t>Изолятор  ШСА-10А</t>
  </si>
  <si>
    <t>Вертикальное заземление ( электрод из угловой оцинкованной стали 63x63x5м)</t>
  </si>
  <si>
    <t xml:space="preserve">Горизонтальное заземление (сталь полос. 4х40мм )  </t>
  </si>
  <si>
    <t>Заземление 1 комплект</t>
  </si>
  <si>
    <t>Рытье ям вручную  в грунтах IV кат.</t>
  </si>
  <si>
    <t>Обратная засыпка   вручную  в грунтах III кат.</t>
  </si>
  <si>
    <t>Вертикальное заземление (электрод из мет. угольника 50x50x5мм)</t>
  </si>
  <si>
    <t>Горизонтальное заземление
(сталь полос. 40х4мм )</t>
  </si>
  <si>
    <t>Вертикальное заземление 
(сталь круглая d-12мм)</t>
  </si>
  <si>
    <t xml:space="preserve">Итого </t>
  </si>
  <si>
    <t>Прибыль</t>
  </si>
  <si>
    <t>Всего</t>
  </si>
  <si>
    <t>*Oборудование</t>
  </si>
  <si>
    <t>Итого</t>
  </si>
  <si>
    <t>НДС</t>
  </si>
  <si>
    <t>ВСЕГО ПО СМЕТЕ</t>
  </si>
  <si>
    <t xml:space="preserve"> Հայաստանի Հանրապետության Շիրակի մարզի Ախուրյան համայնքի Կառնուտ բնակավայրի գազաֆիկացման բաշխիչ ցանցի կառուցման աշխատանքներ</t>
  </si>
  <si>
    <t>Строительные работы распределительной сети газификации в поселке Карнут общины Ахурян Ширакской области Республики Армения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</si>
</sst>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;;;"/>
    <numFmt numFmtId="165" formatCode="0.0000"/>
    <numFmt numFmtId="166" formatCode="0.000"/>
    <numFmt numFmtId="167" formatCode="0.0"/>
    <numFmt numFmtId="168" formatCode="0.00000"/>
    <numFmt numFmtId="169" formatCode="#,##0.0"/>
  </numFmts>
  <fonts count="6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ylfaen"/>
      <family val="1"/>
    </font>
    <font>
      <i/>
      <sz val="10"/>
      <name val="Sylfaen"/>
      <family val="1"/>
    </font>
    <font>
      <b/>
      <i/>
      <sz val="10"/>
      <name val="Sylfaen"/>
      <family val="1"/>
    </font>
    <font>
      <b/>
      <i/>
      <sz val="11"/>
      <name val="Sylfaen"/>
      <family val="1"/>
    </font>
    <font>
      <b/>
      <i/>
      <sz val="8"/>
      <name val="Sylfaen"/>
      <family val="1"/>
    </font>
    <font>
      <sz val="8"/>
      <name val="Sylfaen"/>
      <family val="1"/>
    </font>
    <font>
      <sz val="9"/>
      <name val="Sylfaen"/>
      <family val="1"/>
    </font>
    <font>
      <b/>
      <sz val="12"/>
      <name val="Sylfaen"/>
      <family val="1"/>
    </font>
    <font>
      <b/>
      <sz val="10"/>
      <name val="Sylfaen"/>
      <family val="1"/>
    </font>
    <font>
      <i/>
      <sz val="9"/>
      <name val="Sylfaen"/>
      <family val="1"/>
    </font>
    <font>
      <b/>
      <i/>
      <sz val="9"/>
      <name val="Sylfaen"/>
      <family val="1"/>
    </font>
    <font>
      <i/>
      <sz val="9"/>
      <name val="Sylfaen"/>
      <family val="1"/>
      <charset val="204"/>
    </font>
    <font>
      <sz val="9"/>
      <name val="Sylfaen"/>
      <family val="1"/>
      <charset val="204"/>
    </font>
    <font>
      <b/>
      <i/>
      <sz val="10"/>
      <name val="Sylfaen"/>
      <family val="1"/>
      <charset val="204"/>
    </font>
    <font>
      <i/>
      <sz val="10"/>
      <name val="Sylfaen"/>
      <family val="1"/>
      <charset val="204"/>
    </font>
    <font>
      <sz val="10"/>
      <name val="Sylfaen"/>
      <family val="1"/>
      <charset val="204"/>
    </font>
    <font>
      <i/>
      <sz val="8"/>
      <name val="Sylfaen"/>
      <family val="1"/>
      <charset val="204"/>
    </font>
    <font>
      <b/>
      <sz val="10"/>
      <name val="Sylfaen"/>
      <family val="1"/>
      <charset val="204"/>
    </font>
    <font>
      <b/>
      <i/>
      <sz val="9"/>
      <name val="Sylfaen"/>
      <family val="1"/>
      <charset val="204"/>
    </font>
    <font>
      <sz val="10"/>
      <color theme="0"/>
      <name val="Sylfaen"/>
      <family val="1"/>
    </font>
    <font>
      <sz val="11"/>
      <name val="Sylfaen"/>
      <family val="1"/>
    </font>
    <font>
      <b/>
      <sz val="8"/>
      <name val="Sylfaen"/>
      <family val="1"/>
    </font>
    <font>
      <sz val="8"/>
      <name val="Sylfaen"/>
      <family val="1"/>
      <charset val="204"/>
    </font>
    <font>
      <sz val="11"/>
      <name val="Sylfaen"/>
      <family val="1"/>
      <charset val="204"/>
    </font>
    <font>
      <b/>
      <sz val="9"/>
      <name val="Sylfaen"/>
      <family val="1"/>
    </font>
    <font>
      <b/>
      <sz val="11"/>
      <name val="Sylfaen"/>
      <family val="1"/>
    </font>
    <font>
      <sz val="11"/>
      <name val="Calibri"/>
      <family val="2"/>
      <scheme val="minor"/>
    </font>
    <font>
      <vertAlign val="superscript"/>
      <sz val="9"/>
      <name val="Sylfaen"/>
      <family val="1"/>
    </font>
    <font>
      <sz val="9"/>
      <color indexed="9"/>
      <name val="Sylfaen"/>
      <family val="1"/>
    </font>
    <font>
      <sz val="18"/>
      <name val="Sylfaen"/>
      <family val="1"/>
    </font>
    <font>
      <sz val="9"/>
      <color theme="1"/>
      <name val="Sylfaen"/>
      <family val="1"/>
    </font>
    <font>
      <sz val="9"/>
      <name val="Arial Unicode"/>
      <family val="2"/>
      <charset val="204"/>
    </font>
    <font>
      <sz val="9"/>
      <name val="Times New Roman"/>
      <family val="1"/>
    </font>
    <font>
      <sz val="9"/>
      <color theme="1"/>
      <name val="Sylfaen"/>
      <family val="1"/>
      <charset val="204"/>
    </font>
    <font>
      <sz val="10"/>
      <name val="Arial"/>
      <family val="2"/>
      <charset val="204"/>
    </font>
    <font>
      <sz val="9"/>
      <name val="Arial Armenian"/>
      <family val="2"/>
    </font>
    <font>
      <vertAlign val="superscript"/>
      <sz val="8"/>
      <name val="Sylfaen"/>
      <family val="1"/>
    </font>
    <font>
      <sz val="9"/>
      <color indexed="9"/>
      <name val="Sylfaen"/>
      <family val="1"/>
      <charset val="204"/>
    </font>
    <font>
      <sz val="9"/>
      <color indexed="8"/>
      <name val="Sylfaen"/>
      <family val="1"/>
    </font>
    <font>
      <b/>
      <sz val="10"/>
      <color theme="0"/>
      <name val="Sylfaen"/>
      <family val="1"/>
    </font>
    <font>
      <sz val="9"/>
      <name val="Tahoma"/>
      <family val="2"/>
      <charset val="204"/>
    </font>
    <font>
      <b/>
      <sz val="11"/>
      <color theme="1"/>
      <name val="Sylfaen"/>
      <family val="1"/>
    </font>
    <font>
      <sz val="11"/>
      <color theme="1"/>
      <name val="Sylfaen"/>
      <family val="1"/>
    </font>
    <font>
      <sz val="8"/>
      <name val="Arial Unicode"/>
      <family val="2"/>
      <charset val="204"/>
    </font>
    <font>
      <sz val="8"/>
      <color theme="1"/>
      <name val="Sylfaen"/>
      <family val="1"/>
    </font>
    <font>
      <b/>
      <i/>
      <sz val="12"/>
      <name val="Arial Armenian"/>
      <family val="2"/>
    </font>
    <font>
      <sz val="10"/>
      <color theme="1"/>
      <name val="Calibri"/>
      <family val="2"/>
      <scheme val="minor"/>
    </font>
    <font>
      <b/>
      <sz val="11"/>
      <color theme="0"/>
      <name val="Sylfaen"/>
      <family val="1"/>
    </font>
    <font>
      <sz val="10"/>
      <name val="Tahoma"/>
      <family val="2"/>
      <charset val="204"/>
    </font>
    <font>
      <sz val="11"/>
      <color theme="0"/>
      <name val="Sylfaen"/>
      <family val="1"/>
    </font>
    <font>
      <sz val="8"/>
      <color theme="0"/>
      <name val="Sylfaen"/>
      <family val="1"/>
    </font>
    <font>
      <sz val="9"/>
      <color theme="0"/>
      <name val="Sylfaen"/>
      <family val="1"/>
    </font>
    <font>
      <sz val="11"/>
      <color theme="0"/>
      <name val="Calibri"/>
      <family val="2"/>
      <scheme val="minor"/>
    </font>
    <font>
      <sz val="10"/>
      <color theme="0"/>
      <name val="Arial LatArm"/>
      <family val="2"/>
      <charset val="204"/>
    </font>
    <font>
      <sz val="11"/>
      <color theme="4" tint="0.39997558519241921"/>
      <name val="Sylfaen"/>
      <family val="1"/>
    </font>
    <font>
      <sz val="10"/>
      <name val="Times New Roman"/>
      <family val="1"/>
    </font>
    <font>
      <sz val="10"/>
      <name val="Times New Roman"/>
      <family val="1"/>
      <charset val="204"/>
    </font>
    <font>
      <vertAlign val="superscript"/>
      <sz val="9"/>
      <name val="Times New Roman"/>
      <family val="1"/>
    </font>
    <font>
      <sz val="8"/>
      <name val="Arial Armenian"/>
      <family val="2"/>
      <charset val="204"/>
    </font>
    <font>
      <b/>
      <sz val="9"/>
      <name val="Tahoma"/>
      <family val="2"/>
    </font>
    <font>
      <b/>
      <sz val="9"/>
      <name val="Times New Roman"/>
      <family val="1"/>
    </font>
    <font>
      <b/>
      <i/>
      <sz val="10"/>
      <color theme="4" tint="0.39997558519241921"/>
      <name val="Sylfae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</borders>
  <cellStyleXfs count="23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37" fillId="0" borderId="0"/>
  </cellStyleXfs>
  <cellXfs count="876">
    <xf numFmtId="0" fontId="0" fillId="0" borderId="0" xfId="0"/>
    <xf numFmtId="0" fontId="3" fillId="2" borderId="0" xfId="1" applyFont="1" applyFill="1"/>
    <xf numFmtId="0" fontId="10" fillId="2" borderId="0" xfId="1" applyFont="1" applyFill="1"/>
    <xf numFmtId="0" fontId="8" fillId="2" borderId="0" xfId="1" applyFont="1" applyFill="1"/>
    <xf numFmtId="0" fontId="24" fillId="2" borderId="14" xfId="1" applyFont="1" applyFill="1" applyBorder="1" applyAlignment="1">
      <alignment horizontal="center" vertical="center" wrapText="1"/>
    </xf>
    <xf numFmtId="0" fontId="8" fillId="2" borderId="0" xfId="1" applyFont="1" applyFill="1" applyAlignment="1">
      <alignment horizontal="center" vertical="center"/>
    </xf>
    <xf numFmtId="0" fontId="27" fillId="2" borderId="16" xfId="1" applyFont="1" applyFill="1" applyBorder="1" applyAlignment="1">
      <alignment horizontal="center" vertical="center" wrapText="1"/>
    </xf>
    <xf numFmtId="0" fontId="27" fillId="2" borderId="14" xfId="1" applyFont="1" applyFill="1" applyBorder="1" applyAlignment="1">
      <alignment horizontal="center" vertical="center"/>
    </xf>
    <xf numFmtId="0" fontId="28" fillId="2" borderId="14" xfId="1" applyFont="1" applyFill="1" applyBorder="1" applyAlignment="1">
      <alignment horizontal="center"/>
    </xf>
    <xf numFmtId="0" fontId="24" fillId="2" borderId="14" xfId="1" applyFont="1" applyFill="1" applyBorder="1" applyAlignment="1">
      <alignment horizontal="center" vertical="center"/>
    </xf>
    <xf numFmtId="1" fontId="24" fillId="2" borderId="17" xfId="1" applyNumberFormat="1" applyFont="1" applyFill="1" applyBorder="1" applyAlignment="1">
      <alignment horizontal="center" vertical="center"/>
    </xf>
    <xf numFmtId="2" fontId="9" fillId="2" borderId="15" xfId="3" applyNumberFormat="1" applyFont="1" applyFill="1" applyBorder="1" applyAlignment="1">
      <alignment horizontal="center" vertical="center"/>
    </xf>
    <xf numFmtId="2" fontId="9" fillId="2" borderId="19" xfId="3" applyNumberFormat="1" applyFont="1" applyFill="1" applyBorder="1" applyAlignment="1">
      <alignment horizontal="center" vertical="center"/>
    </xf>
    <xf numFmtId="0" fontId="29" fillId="2" borderId="0" xfId="0" applyFont="1" applyFill="1"/>
    <xf numFmtId="2" fontId="9" fillId="2" borderId="21" xfId="4" applyNumberFormat="1" applyFont="1" applyFill="1" applyBorder="1" applyAlignment="1">
      <alignment vertical="top"/>
    </xf>
    <xf numFmtId="0" fontId="9" fillId="2" borderId="22" xfId="4" applyFont="1" applyFill="1" applyBorder="1" applyAlignment="1">
      <alignment horizontal="center" vertical="center" shrinkToFit="1"/>
    </xf>
    <xf numFmtId="2" fontId="9" fillId="2" borderId="22" xfId="4" applyNumberFormat="1" applyFont="1" applyFill="1" applyBorder="1" applyAlignment="1">
      <alignment horizontal="center" vertical="center"/>
    </xf>
    <xf numFmtId="2" fontId="9" fillId="2" borderId="22" xfId="4" applyNumberFormat="1" applyFont="1" applyFill="1" applyBorder="1" applyAlignment="1">
      <alignment horizontal="center" vertical="top"/>
    </xf>
    <xf numFmtId="2" fontId="9" fillId="2" borderId="23" xfId="4" applyNumberFormat="1" applyFont="1" applyFill="1" applyBorder="1" applyAlignment="1">
      <alignment horizontal="center" vertical="top" shrinkToFit="1"/>
    </xf>
    <xf numFmtId="0" fontId="3" fillId="2" borderId="0" xfId="4" applyFont="1" applyFill="1"/>
    <xf numFmtId="2" fontId="9" fillId="2" borderId="11" xfId="4" applyNumberFormat="1" applyFont="1" applyFill="1" applyBorder="1" applyAlignment="1">
      <alignment vertical="top"/>
    </xf>
    <xf numFmtId="0" fontId="9" fillId="2" borderId="1" xfId="4" applyFont="1" applyFill="1" applyBorder="1" applyAlignment="1">
      <alignment horizontal="center" vertical="center" shrinkToFit="1"/>
    </xf>
    <xf numFmtId="2" fontId="9" fillId="2" borderId="1" xfId="4" applyNumberFormat="1" applyFont="1" applyFill="1" applyBorder="1" applyAlignment="1">
      <alignment horizontal="center" vertical="center"/>
    </xf>
    <xf numFmtId="2" fontId="9" fillId="2" borderId="1" xfId="4" applyNumberFormat="1" applyFont="1" applyFill="1" applyBorder="1" applyAlignment="1">
      <alignment horizontal="center" vertical="top"/>
    </xf>
    <xf numFmtId="2" fontId="9" fillId="2" borderId="12" xfId="4" applyNumberFormat="1" applyFont="1" applyFill="1" applyBorder="1" applyAlignment="1">
      <alignment horizontal="center" vertical="top" shrinkToFit="1"/>
    </xf>
    <xf numFmtId="2" fontId="9" fillId="2" borderId="22" xfId="4" applyNumberFormat="1" applyFont="1" applyFill="1" applyBorder="1" applyAlignment="1">
      <alignment vertical="top"/>
    </xf>
    <xf numFmtId="2" fontId="9" fillId="2" borderId="23" xfId="4" applyNumberFormat="1" applyFont="1" applyFill="1" applyBorder="1" applyAlignment="1">
      <alignment horizontal="center" vertical="top"/>
    </xf>
    <xf numFmtId="0" fontId="3" fillId="2" borderId="0" xfId="4" applyFont="1" applyFill="1" applyAlignment="1">
      <alignment vertical="top"/>
    </xf>
    <xf numFmtId="2" fontId="9" fillId="2" borderId="1" xfId="4" applyNumberFormat="1" applyFont="1" applyFill="1" applyBorder="1" applyAlignment="1">
      <alignment vertical="top"/>
    </xf>
    <xf numFmtId="2" fontId="9" fillId="2" borderId="12" xfId="4" applyNumberFormat="1" applyFont="1" applyFill="1" applyBorder="1" applyAlignment="1">
      <alignment horizontal="center" vertical="top"/>
    </xf>
    <xf numFmtId="2" fontId="9" fillId="2" borderId="14" xfId="4" applyNumberFormat="1" applyFont="1" applyFill="1" applyBorder="1" applyAlignment="1">
      <alignment vertical="top"/>
    </xf>
    <xf numFmtId="0" fontId="9" fillId="2" borderId="14" xfId="4" applyFont="1" applyFill="1" applyBorder="1" applyAlignment="1">
      <alignment horizontal="center" vertical="center" shrinkToFit="1"/>
    </xf>
    <xf numFmtId="2" fontId="9" fillId="2" borderId="14" xfId="4" applyNumberFormat="1" applyFont="1" applyFill="1" applyBorder="1" applyAlignment="1">
      <alignment horizontal="center" vertical="center"/>
    </xf>
    <xf numFmtId="2" fontId="9" fillId="2" borderId="17" xfId="4" applyNumberFormat="1" applyFont="1" applyFill="1" applyBorder="1" applyAlignment="1">
      <alignment horizontal="center" vertical="center" shrinkToFit="1"/>
    </xf>
    <xf numFmtId="2" fontId="9" fillId="2" borderId="15" xfId="4" applyNumberFormat="1" applyFont="1" applyFill="1" applyBorder="1" applyAlignment="1">
      <alignment horizontal="center" vertical="center" shrinkToFit="1"/>
    </xf>
    <xf numFmtId="49" fontId="9" fillId="2" borderId="27" xfId="4" applyNumberFormat="1" applyFont="1" applyFill="1" applyBorder="1" applyAlignment="1">
      <alignment horizontal="left" vertical="center" wrapText="1"/>
    </xf>
    <xf numFmtId="0" fontId="9" fillId="2" borderId="28" xfId="4" applyFont="1" applyFill="1" applyBorder="1" applyAlignment="1">
      <alignment horizontal="center" vertical="center" shrinkToFit="1"/>
    </xf>
    <xf numFmtId="2" fontId="9" fillId="2" borderId="28" xfId="4" applyNumberFormat="1" applyFont="1" applyFill="1" applyBorder="1" applyAlignment="1">
      <alignment horizontal="center" vertical="center" shrinkToFit="1"/>
    </xf>
    <xf numFmtId="2" fontId="9" fillId="2" borderId="28" xfId="4" applyNumberFormat="1" applyFont="1" applyFill="1" applyBorder="1" applyAlignment="1">
      <alignment horizontal="center" vertical="center"/>
    </xf>
    <xf numFmtId="166" fontId="9" fillId="2" borderId="28" xfId="5" applyNumberFormat="1" applyFont="1" applyFill="1" applyBorder="1" applyAlignment="1">
      <alignment horizontal="center" vertical="center" shrinkToFit="1"/>
    </xf>
    <xf numFmtId="2" fontId="9" fillId="2" borderId="29" xfId="0" applyNumberFormat="1" applyFont="1" applyFill="1" applyBorder="1" applyAlignment="1">
      <alignment horizontal="center" vertical="center" shrinkToFit="1"/>
    </xf>
    <xf numFmtId="2" fontId="9" fillId="2" borderId="5" xfId="4" applyNumberFormat="1" applyFont="1" applyFill="1" applyBorder="1" applyAlignment="1">
      <alignment horizontal="center" vertical="center" shrinkToFit="1"/>
    </xf>
    <xf numFmtId="2" fontId="9" fillId="2" borderId="2" xfId="4" applyNumberFormat="1" applyFont="1" applyFill="1" applyBorder="1" applyAlignment="1">
      <alignment vertical="top"/>
    </xf>
    <xf numFmtId="0" fontId="9" fillId="2" borderId="0" xfId="4" applyFont="1" applyFill="1" applyAlignment="1">
      <alignment horizontal="center" vertical="center" shrinkToFit="1"/>
    </xf>
    <xf numFmtId="2" fontId="9" fillId="2" borderId="0" xfId="4" applyNumberFormat="1" applyFont="1" applyFill="1" applyAlignment="1">
      <alignment horizontal="center" vertical="center"/>
    </xf>
    <xf numFmtId="2" fontId="9" fillId="2" borderId="23" xfId="4" applyNumberFormat="1" applyFont="1" applyFill="1" applyBorder="1" applyAlignment="1">
      <alignment horizontal="center" vertical="center" shrinkToFit="1"/>
    </xf>
    <xf numFmtId="2" fontId="9" fillId="2" borderId="12" xfId="4" applyNumberFormat="1" applyFont="1" applyFill="1" applyBorder="1" applyAlignment="1">
      <alignment horizontal="center" vertical="center" shrinkToFit="1"/>
    </xf>
    <xf numFmtId="2" fontId="9" fillId="2" borderId="0" xfId="4" applyNumberFormat="1" applyFont="1" applyFill="1" applyAlignment="1">
      <alignment horizontal="center" vertical="top"/>
    </xf>
    <xf numFmtId="2" fontId="9" fillId="2" borderId="6" xfId="4" applyNumberFormat="1" applyFont="1" applyFill="1" applyBorder="1" applyAlignment="1">
      <alignment horizontal="center" vertical="top" shrinkToFit="1"/>
    </xf>
    <xf numFmtId="0" fontId="9" fillId="2" borderId="0" xfId="4" applyFont="1" applyFill="1" applyAlignment="1">
      <alignment vertical="center"/>
    </xf>
    <xf numFmtId="0" fontId="9" fillId="2" borderId="0" xfId="4" applyFont="1" applyFill="1" applyAlignment="1">
      <alignment vertical="top"/>
    </xf>
    <xf numFmtId="0" fontId="32" fillId="2" borderId="0" xfId="4" applyFont="1" applyFill="1" applyAlignment="1">
      <alignment horizontal="center" vertical="center" textRotation="90"/>
    </xf>
    <xf numFmtId="0" fontId="9" fillId="2" borderId="31" xfId="4" applyFont="1" applyFill="1" applyBorder="1" applyAlignment="1">
      <alignment vertical="center"/>
    </xf>
    <xf numFmtId="2" fontId="8" fillId="2" borderId="1" xfId="0" applyNumberFormat="1" applyFont="1" applyFill="1" applyBorder="1" applyAlignment="1">
      <alignment horizontal="left" vertical="top"/>
    </xf>
    <xf numFmtId="0" fontId="9" fillId="2" borderId="14" xfId="0" applyFont="1" applyFill="1" applyBorder="1" applyAlignment="1">
      <alignment horizontal="center" vertical="center" shrinkToFit="1"/>
    </xf>
    <xf numFmtId="2" fontId="9" fillId="2" borderId="14" xfId="0" applyNumberFormat="1" applyFont="1" applyFill="1" applyBorder="1" applyAlignment="1">
      <alignment horizontal="center" vertical="center"/>
    </xf>
    <xf numFmtId="166" fontId="33" fillId="2" borderId="14" xfId="0" applyNumberFormat="1" applyFont="1" applyFill="1" applyBorder="1" applyAlignment="1">
      <alignment horizontal="center" vertical="top"/>
    </xf>
    <xf numFmtId="2" fontId="9" fillId="2" borderId="17" xfId="0" applyNumberFormat="1" applyFont="1" applyFill="1" applyBorder="1" applyAlignment="1">
      <alignment horizontal="center" vertical="top" shrinkToFit="1"/>
    </xf>
    <xf numFmtId="2" fontId="9" fillId="2" borderId="15" xfId="0" applyNumberFormat="1" applyFont="1" applyFill="1" applyBorder="1" applyAlignment="1">
      <alignment horizontal="center" vertical="center" shrinkToFit="1"/>
    </xf>
    <xf numFmtId="0" fontId="3" fillId="2" borderId="0" xfId="0" applyFont="1" applyFill="1"/>
    <xf numFmtId="164" fontId="34" fillId="2" borderId="0" xfId="0" applyNumberFormat="1" applyFont="1" applyFill="1" applyAlignment="1">
      <alignment vertical="top"/>
    </xf>
    <xf numFmtId="0" fontId="34" fillId="2" borderId="0" xfId="0" applyFont="1" applyFill="1" applyAlignment="1">
      <alignment vertical="top"/>
    </xf>
    <xf numFmtId="49" fontId="8" fillId="2" borderId="16" xfId="0" applyNumberFormat="1" applyFont="1" applyFill="1" applyBorder="1" applyAlignment="1">
      <alignment horizontal="left" vertical="center"/>
    </xf>
    <xf numFmtId="0" fontId="9" fillId="2" borderId="28" xfId="0" applyFont="1" applyFill="1" applyBorder="1" applyAlignment="1">
      <alignment horizontal="center" vertical="center" shrinkToFit="1"/>
    </xf>
    <xf numFmtId="2" fontId="9" fillId="2" borderId="28" xfId="0" applyNumberFormat="1" applyFont="1" applyFill="1" applyBorder="1" applyAlignment="1">
      <alignment horizontal="center" vertical="center" shrinkToFit="1"/>
    </xf>
    <xf numFmtId="2" fontId="9" fillId="2" borderId="28" xfId="0" applyNumberFormat="1" applyFont="1" applyFill="1" applyBorder="1" applyAlignment="1">
      <alignment horizontal="center" vertical="center"/>
    </xf>
    <xf numFmtId="166" fontId="33" fillId="2" borderId="28" xfId="0" applyNumberFormat="1" applyFont="1" applyFill="1" applyBorder="1" applyAlignment="1">
      <alignment horizontal="center" vertical="center" shrinkToFit="1"/>
    </xf>
    <xf numFmtId="2" fontId="9" fillId="2" borderId="32" xfId="0" applyNumberFormat="1" applyFont="1" applyFill="1" applyBorder="1" applyAlignment="1">
      <alignment horizontal="center" vertical="center" shrinkToFit="1"/>
    </xf>
    <xf numFmtId="2" fontId="9" fillId="2" borderId="10" xfId="0" applyNumberFormat="1" applyFont="1" applyFill="1" applyBorder="1" applyAlignment="1">
      <alignment horizontal="center" vertical="center" shrinkToFit="1"/>
    </xf>
    <xf numFmtId="2" fontId="8" fillId="2" borderId="16" xfId="0" applyNumberFormat="1" applyFont="1" applyFill="1" applyBorder="1" applyAlignment="1">
      <alignment vertical="top"/>
    </xf>
    <xf numFmtId="168" fontId="9" fillId="2" borderId="14" xfId="0" applyNumberFormat="1" applyFont="1" applyFill="1" applyBorder="1" applyAlignment="1">
      <alignment horizontal="center" vertical="center"/>
    </xf>
    <xf numFmtId="2" fontId="33" fillId="2" borderId="14" xfId="0" applyNumberFormat="1" applyFont="1" applyFill="1" applyBorder="1" applyAlignment="1">
      <alignment horizontal="center" vertical="center"/>
    </xf>
    <xf numFmtId="2" fontId="9" fillId="2" borderId="17" xfId="0" applyNumberFormat="1" applyFont="1" applyFill="1" applyBorder="1" applyAlignment="1">
      <alignment horizontal="center" vertical="center" shrinkToFit="1"/>
    </xf>
    <xf numFmtId="49" fontId="8" fillId="2" borderId="33" xfId="0" applyNumberFormat="1" applyFont="1" applyFill="1" applyBorder="1" applyAlignment="1">
      <alignment horizontal="left" vertical="center"/>
    </xf>
    <xf numFmtId="0" fontId="9" fillId="2" borderId="34" xfId="0" applyFont="1" applyFill="1" applyBorder="1" applyAlignment="1">
      <alignment horizontal="center" vertical="center" shrinkToFit="1"/>
    </xf>
    <xf numFmtId="166" fontId="35" fillId="2" borderId="35" xfId="0" applyNumberFormat="1" applyFont="1" applyFill="1" applyBorder="1" applyAlignment="1">
      <alignment horizontal="center" vertical="center" shrinkToFit="1"/>
    </xf>
    <xf numFmtId="2" fontId="9" fillId="2" borderId="36" xfId="0" applyNumberFormat="1" applyFont="1" applyFill="1" applyBorder="1" applyAlignment="1">
      <alignment horizontal="center" vertical="center"/>
    </xf>
    <xf numFmtId="166" fontId="33" fillId="2" borderId="34" xfId="0" applyNumberFormat="1" applyFont="1" applyFill="1" applyBorder="1" applyAlignment="1">
      <alignment horizontal="center" vertical="center"/>
    </xf>
    <xf numFmtId="2" fontId="9" fillId="2" borderId="37" xfId="0" applyNumberFormat="1" applyFont="1" applyFill="1" applyBorder="1" applyAlignment="1">
      <alignment horizontal="center" vertical="center" shrinkToFit="1"/>
    </xf>
    <xf numFmtId="49" fontId="8" fillId="2" borderId="38" xfId="0" applyNumberFormat="1" applyFont="1" applyFill="1" applyBorder="1" applyAlignment="1">
      <alignment horizontal="left" vertical="center"/>
    </xf>
    <xf numFmtId="0" fontId="9" fillId="2" borderId="39" xfId="0" applyFont="1" applyFill="1" applyBorder="1" applyAlignment="1">
      <alignment horizontal="center" vertical="center" shrinkToFit="1"/>
    </xf>
    <xf numFmtId="166" fontId="35" fillId="2" borderId="39" xfId="0" applyNumberFormat="1" applyFont="1" applyFill="1" applyBorder="1" applyAlignment="1">
      <alignment horizontal="center" vertical="center" shrinkToFit="1"/>
    </xf>
    <xf numFmtId="2" fontId="9" fillId="2" borderId="40" xfId="0" applyNumberFormat="1" applyFont="1" applyFill="1" applyBorder="1" applyAlignment="1">
      <alignment horizontal="center" vertical="center"/>
    </xf>
    <xf numFmtId="166" fontId="33" fillId="2" borderId="40" xfId="0" applyNumberFormat="1" applyFont="1" applyFill="1" applyBorder="1" applyAlignment="1">
      <alignment horizontal="center" vertical="center"/>
    </xf>
    <xf numFmtId="2" fontId="9" fillId="2" borderId="41" xfId="0" applyNumberFormat="1" applyFont="1" applyFill="1" applyBorder="1" applyAlignment="1">
      <alignment horizontal="center" vertical="center" shrinkToFit="1"/>
    </xf>
    <xf numFmtId="49" fontId="8" fillId="2" borderId="42" xfId="0" applyNumberFormat="1" applyFont="1" applyFill="1" applyBorder="1" applyAlignment="1">
      <alignment horizontal="left" vertical="center"/>
    </xf>
    <xf numFmtId="0" fontId="9" fillId="2" borderId="43" xfId="0" applyFont="1" applyFill="1" applyBorder="1" applyAlignment="1">
      <alignment horizontal="center" vertical="center" shrinkToFit="1"/>
    </xf>
    <xf numFmtId="166" fontId="35" fillId="2" borderId="43" xfId="0" applyNumberFormat="1" applyFont="1" applyFill="1" applyBorder="1" applyAlignment="1">
      <alignment horizontal="center" vertical="center" shrinkToFit="1"/>
    </xf>
    <xf numFmtId="2" fontId="9" fillId="2" borderId="44" xfId="0" applyNumberFormat="1" applyFont="1" applyFill="1" applyBorder="1" applyAlignment="1">
      <alignment horizontal="center" vertical="center"/>
    </xf>
    <xf numFmtId="166" fontId="33" fillId="2" borderId="44" xfId="0" applyNumberFormat="1" applyFont="1" applyFill="1" applyBorder="1" applyAlignment="1">
      <alignment horizontal="center" vertical="center"/>
    </xf>
    <xf numFmtId="2" fontId="9" fillId="2" borderId="45" xfId="0" applyNumberFormat="1" applyFont="1" applyFill="1" applyBorder="1" applyAlignment="1">
      <alignment horizontal="center" vertical="center" shrinkToFit="1"/>
    </xf>
    <xf numFmtId="0" fontId="34" fillId="2" borderId="31" xfId="0" applyFont="1" applyFill="1" applyBorder="1" applyAlignment="1">
      <alignment vertical="top"/>
    </xf>
    <xf numFmtId="168" fontId="9" fillId="2" borderId="31" xfId="0" applyNumberFormat="1" applyFont="1" applyFill="1" applyBorder="1" applyAlignment="1">
      <alignment horizontal="center" vertical="center" shrinkToFit="1"/>
    </xf>
    <xf numFmtId="2" fontId="15" fillId="2" borderId="17" xfId="0" applyNumberFormat="1" applyFont="1" applyFill="1" applyBorder="1" applyAlignment="1">
      <alignment horizontal="center" vertical="center" shrinkToFit="1"/>
    </xf>
    <xf numFmtId="0" fontId="0" fillId="2" borderId="0" xfId="0" applyFill="1"/>
    <xf numFmtId="49" fontId="8" fillId="2" borderId="33" xfId="0" applyNumberFormat="1" applyFont="1" applyFill="1" applyBorder="1" applyAlignment="1">
      <alignment horizontal="left" vertical="center" wrapText="1"/>
    </xf>
    <xf numFmtId="166" fontId="35" fillId="2" borderId="36" xfId="0" applyNumberFormat="1" applyFont="1" applyFill="1" applyBorder="1" applyAlignment="1">
      <alignment horizontal="center" vertical="center" shrinkToFit="1"/>
    </xf>
    <xf numFmtId="166" fontId="9" fillId="2" borderId="34" xfId="0" applyNumberFormat="1" applyFont="1" applyFill="1" applyBorder="1" applyAlignment="1">
      <alignment horizontal="center" vertical="center"/>
    </xf>
    <xf numFmtId="49" fontId="8" fillId="2" borderId="46" xfId="0" applyNumberFormat="1" applyFont="1" applyFill="1" applyBorder="1" applyAlignment="1">
      <alignment horizontal="left" vertical="center" wrapText="1"/>
    </xf>
    <xf numFmtId="0" fontId="9" fillId="2" borderId="44" xfId="0" applyFont="1" applyFill="1" applyBorder="1" applyAlignment="1">
      <alignment horizontal="center" vertical="center" shrinkToFit="1"/>
    </xf>
    <xf numFmtId="166" fontId="35" fillId="2" borderId="44" xfId="0" applyNumberFormat="1" applyFont="1" applyFill="1" applyBorder="1" applyAlignment="1">
      <alignment horizontal="center" vertical="center" shrinkToFit="1"/>
    </xf>
    <xf numFmtId="166" fontId="9" fillId="2" borderId="44" xfId="0" applyNumberFormat="1" applyFont="1" applyFill="1" applyBorder="1" applyAlignment="1">
      <alignment horizontal="center" vertical="center"/>
    </xf>
    <xf numFmtId="166" fontId="9" fillId="2" borderId="14" xfId="0" applyNumberFormat="1" applyFont="1" applyFill="1" applyBorder="1" applyAlignment="1">
      <alignment horizontal="center" vertical="top"/>
    </xf>
    <xf numFmtId="0" fontId="9" fillId="2" borderId="0" xfId="0" applyFont="1" applyFill="1" applyAlignment="1">
      <alignment vertical="top"/>
    </xf>
    <xf numFmtId="49" fontId="8" fillId="2" borderId="16" xfId="0" applyNumberFormat="1" applyFont="1" applyFill="1" applyBorder="1" applyAlignment="1">
      <alignment horizontal="left" vertical="center" wrapText="1"/>
    </xf>
    <xf numFmtId="166" fontId="9" fillId="2" borderId="28" xfId="0" applyNumberFormat="1" applyFont="1" applyFill="1" applyBorder="1" applyAlignment="1">
      <alignment horizontal="center" vertical="center" shrinkToFit="1"/>
    </xf>
    <xf numFmtId="0" fontId="15" fillId="2" borderId="0" xfId="0" applyFont="1" applyFill="1" applyAlignment="1">
      <alignment vertical="top"/>
    </xf>
    <xf numFmtId="2" fontId="8" fillId="2" borderId="14" xfId="0" applyNumberFormat="1" applyFont="1" applyFill="1" applyBorder="1" applyAlignment="1">
      <alignment vertical="center"/>
    </xf>
    <xf numFmtId="0" fontId="9" fillId="2" borderId="0" xfId="0" applyFont="1" applyFill="1"/>
    <xf numFmtId="49" fontId="8" fillId="2" borderId="47" xfId="0" applyNumberFormat="1" applyFont="1" applyFill="1" applyBorder="1" applyAlignment="1">
      <alignment horizontal="left" vertical="center" wrapText="1"/>
    </xf>
    <xf numFmtId="167" fontId="9" fillId="2" borderId="28" xfId="0" applyNumberFormat="1" applyFont="1" applyFill="1" applyBorder="1" applyAlignment="1">
      <alignment horizontal="center" vertical="center" shrinkToFit="1"/>
    </xf>
    <xf numFmtId="2" fontId="9" fillId="2" borderId="5" xfId="0" applyNumberFormat="1" applyFont="1" applyFill="1" applyBorder="1" applyAlignment="1">
      <alignment horizontal="center" vertical="center" shrinkToFit="1"/>
    </xf>
    <xf numFmtId="2" fontId="8" fillId="2" borderId="14" xfId="0" applyNumberFormat="1" applyFont="1" applyFill="1" applyBorder="1" applyAlignment="1">
      <alignment horizontal="left" vertical="center"/>
    </xf>
    <xf numFmtId="164" fontId="9" fillId="2" borderId="0" xfId="0" applyNumberFormat="1" applyFont="1" applyFill="1" applyAlignment="1">
      <alignment vertical="top"/>
    </xf>
    <xf numFmtId="49" fontId="8" fillId="2" borderId="35" xfId="0" applyNumberFormat="1" applyFont="1" applyFill="1" applyBorder="1" applyAlignment="1">
      <alignment horizontal="left" vertical="center" wrapText="1"/>
    </xf>
    <xf numFmtId="2" fontId="9" fillId="2" borderId="34" xfId="0" applyNumberFormat="1" applyFont="1" applyFill="1" applyBorder="1" applyAlignment="1">
      <alignment horizontal="center" vertical="center" shrinkToFit="1"/>
    </xf>
    <xf numFmtId="2" fontId="9" fillId="2" borderId="34" xfId="0" applyNumberFormat="1" applyFont="1" applyFill="1" applyBorder="1" applyAlignment="1">
      <alignment horizontal="center" vertical="center"/>
    </xf>
    <xf numFmtId="166" fontId="9" fillId="2" borderId="34" xfId="0" applyNumberFormat="1" applyFont="1" applyFill="1" applyBorder="1" applyAlignment="1">
      <alignment horizontal="center" vertical="center" shrinkToFit="1"/>
    </xf>
    <xf numFmtId="49" fontId="8" fillId="2" borderId="48" xfId="0" applyNumberFormat="1" applyFont="1" applyFill="1" applyBorder="1" applyAlignment="1">
      <alignment horizontal="left" vertical="center" wrapText="1"/>
    </xf>
    <xf numFmtId="166" fontId="9" fillId="2" borderId="44" xfId="0" applyNumberFormat="1" applyFont="1" applyFill="1" applyBorder="1" applyAlignment="1">
      <alignment horizontal="center" vertical="center" shrinkToFit="1"/>
    </xf>
    <xf numFmtId="166" fontId="9" fillId="2" borderId="43" xfId="6" applyNumberFormat="1" applyFont="1" applyFill="1" applyBorder="1" applyAlignment="1">
      <alignment horizontal="center" vertical="center" shrinkToFit="1"/>
    </xf>
    <xf numFmtId="2" fontId="9" fillId="2" borderId="49" xfId="0" applyNumberFormat="1" applyFont="1" applyFill="1" applyBorder="1" applyAlignment="1">
      <alignment horizontal="center" vertical="center" shrinkToFit="1"/>
    </xf>
    <xf numFmtId="2" fontId="8" fillId="2" borderId="16" xfId="0" applyNumberFormat="1" applyFont="1" applyFill="1" applyBorder="1" applyAlignment="1">
      <alignment vertical="center"/>
    </xf>
    <xf numFmtId="2" fontId="9" fillId="2" borderId="15" xfId="0" applyNumberFormat="1" applyFont="1" applyFill="1" applyBorder="1" applyAlignment="1">
      <alignment horizontal="center" vertical="center" wrapText="1" shrinkToFit="1"/>
    </xf>
    <xf numFmtId="0" fontId="38" fillId="2" borderId="0" xfId="0" applyFont="1" applyFill="1" applyAlignment="1">
      <alignment vertical="top"/>
    </xf>
    <xf numFmtId="49" fontId="8" fillId="2" borderId="38" xfId="0" applyNumberFormat="1" applyFont="1" applyFill="1" applyBorder="1" applyAlignment="1">
      <alignment horizontal="left" vertical="center" wrapText="1"/>
    </xf>
    <xf numFmtId="0" fontId="9" fillId="2" borderId="40" xfId="0" applyFont="1" applyFill="1" applyBorder="1" applyAlignment="1">
      <alignment horizontal="center" vertical="center" shrinkToFit="1"/>
    </xf>
    <xf numFmtId="166" fontId="35" fillId="2" borderId="40" xfId="0" applyNumberFormat="1" applyFont="1" applyFill="1" applyBorder="1" applyAlignment="1">
      <alignment horizontal="center" vertical="center" shrinkToFit="1"/>
    </xf>
    <xf numFmtId="166" fontId="9" fillId="2" borderId="40" xfId="0" applyNumberFormat="1" applyFont="1" applyFill="1" applyBorder="1" applyAlignment="1">
      <alignment horizontal="center" vertical="center"/>
    </xf>
    <xf numFmtId="166" fontId="9" fillId="2" borderId="41" xfId="0" applyNumberFormat="1" applyFont="1" applyFill="1" applyBorder="1" applyAlignment="1">
      <alignment horizontal="center" vertical="center" shrinkToFit="1"/>
    </xf>
    <xf numFmtId="49" fontId="8" fillId="2" borderId="42" xfId="0" applyNumberFormat="1" applyFont="1" applyFill="1" applyBorder="1" applyAlignment="1">
      <alignment horizontal="left" vertical="center" wrapText="1"/>
    </xf>
    <xf numFmtId="166" fontId="9" fillId="2" borderId="52" xfId="0" applyNumberFormat="1" applyFont="1" applyFill="1" applyBorder="1" applyAlignment="1">
      <alignment horizontal="center" vertical="center"/>
    </xf>
    <xf numFmtId="2" fontId="9" fillId="2" borderId="21" xfId="4" applyNumberFormat="1" applyFont="1" applyFill="1" applyBorder="1" applyAlignment="1">
      <alignment vertical="center"/>
    </xf>
    <xf numFmtId="164" fontId="38" fillId="2" borderId="0" xfId="8" applyNumberFormat="1" applyFont="1" applyFill="1" applyAlignment="1">
      <alignment vertical="top"/>
    </xf>
    <xf numFmtId="2" fontId="3" fillId="2" borderId="0" xfId="4" applyNumberFormat="1" applyFont="1" applyFill="1"/>
    <xf numFmtId="2" fontId="9" fillId="2" borderId="11" xfId="4" applyNumberFormat="1" applyFont="1" applyFill="1" applyBorder="1" applyAlignment="1">
      <alignment vertical="center"/>
    </xf>
    <xf numFmtId="2" fontId="9" fillId="2" borderId="1" xfId="0" applyNumberFormat="1" applyFont="1" applyFill="1" applyBorder="1" applyAlignment="1">
      <alignment horizontal="center" vertical="center"/>
    </xf>
    <xf numFmtId="2" fontId="9" fillId="2" borderId="21" xfId="5" applyNumberFormat="1" applyFont="1" applyFill="1" applyBorder="1" applyAlignment="1">
      <alignment vertical="center"/>
    </xf>
    <xf numFmtId="0" fontId="9" fillId="2" borderId="0" xfId="5" applyFont="1" applyFill="1" applyAlignment="1">
      <alignment horizontal="center" vertical="center" shrinkToFit="1"/>
    </xf>
    <xf numFmtId="2" fontId="9" fillId="2" borderId="0" xfId="5" applyNumberFormat="1" applyFont="1" applyFill="1" applyAlignment="1">
      <alignment horizontal="center" vertical="center"/>
    </xf>
    <xf numFmtId="2" fontId="9" fillId="2" borderId="0" xfId="5" applyNumberFormat="1" applyFont="1" applyFill="1" applyAlignment="1">
      <alignment vertical="top"/>
    </xf>
    <xf numFmtId="2" fontId="9" fillId="2" borderId="0" xfId="5" applyNumberFormat="1" applyFont="1" applyFill="1" applyAlignment="1">
      <alignment vertical="top" shrinkToFit="1"/>
    </xf>
    <xf numFmtId="0" fontId="9" fillId="2" borderId="0" xfId="5" applyFont="1" applyFill="1" applyAlignment="1">
      <alignment vertical="top"/>
    </xf>
    <xf numFmtId="2" fontId="9" fillId="2" borderId="11" xfId="5" applyNumberFormat="1" applyFont="1" applyFill="1" applyBorder="1" applyAlignment="1">
      <alignment vertical="center"/>
    </xf>
    <xf numFmtId="0" fontId="9" fillId="2" borderId="1" xfId="5" applyFont="1" applyFill="1" applyBorder="1" applyAlignment="1">
      <alignment horizontal="center" vertical="center" shrinkToFit="1"/>
    </xf>
    <xf numFmtId="2" fontId="9" fillId="2" borderId="1" xfId="5" applyNumberFormat="1" applyFont="1" applyFill="1" applyBorder="1" applyAlignment="1">
      <alignment horizontal="center" vertical="center"/>
    </xf>
    <xf numFmtId="2" fontId="9" fillId="2" borderId="1" xfId="5" applyNumberFormat="1" applyFont="1" applyFill="1" applyBorder="1" applyAlignment="1">
      <alignment vertical="top"/>
    </xf>
    <xf numFmtId="2" fontId="9" fillId="2" borderId="1" xfId="5" applyNumberFormat="1" applyFont="1" applyFill="1" applyBorder="1" applyAlignment="1">
      <alignment vertical="top" shrinkToFit="1"/>
    </xf>
    <xf numFmtId="166" fontId="9" fillId="2" borderId="14" xfId="0" applyNumberFormat="1" applyFont="1" applyFill="1" applyBorder="1" applyAlignment="1">
      <alignment horizontal="center" vertical="center"/>
    </xf>
    <xf numFmtId="2" fontId="25" fillId="2" borderId="16" xfId="8" applyNumberFormat="1" applyFont="1" applyFill="1" applyBorder="1" applyAlignment="1">
      <alignment vertical="center"/>
    </xf>
    <xf numFmtId="2" fontId="25" fillId="2" borderId="14" xfId="8" applyNumberFormat="1" applyFont="1" applyFill="1" applyBorder="1" applyAlignment="1">
      <alignment vertical="top"/>
    </xf>
    <xf numFmtId="2" fontId="25" fillId="2" borderId="17" xfId="8" applyNumberFormat="1" applyFont="1" applyFill="1" applyBorder="1" applyAlignment="1">
      <alignment vertical="top"/>
    </xf>
    <xf numFmtId="2" fontId="15" fillId="2" borderId="15" xfId="0" applyNumberFormat="1" applyFont="1" applyFill="1" applyBorder="1" applyAlignment="1">
      <alignment horizontal="center" vertical="center" shrinkToFit="1"/>
    </xf>
    <xf numFmtId="49" fontId="8" fillId="2" borderId="27" xfId="0" applyNumberFormat="1" applyFont="1" applyFill="1" applyBorder="1" applyAlignment="1">
      <alignment horizontal="left" vertical="center" wrapText="1"/>
    </xf>
    <xf numFmtId="167" fontId="9" fillId="2" borderId="34" xfId="0" applyNumberFormat="1" applyFont="1" applyFill="1" applyBorder="1" applyAlignment="1">
      <alignment horizontal="center" vertical="center" shrinkToFit="1"/>
    </xf>
    <xf numFmtId="0" fontId="9" fillId="2" borderId="0" xfId="0" applyFont="1" applyFill="1" applyAlignment="1">
      <alignment vertical="center"/>
    </xf>
    <xf numFmtId="164" fontId="9" fillId="2" borderId="0" xfId="0" applyNumberFormat="1" applyFont="1" applyFill="1" applyAlignment="1">
      <alignment vertical="center"/>
    </xf>
    <xf numFmtId="2" fontId="9" fillId="2" borderId="21" xfId="5" applyNumberFormat="1" applyFont="1" applyFill="1" applyBorder="1" applyAlignment="1">
      <alignment horizontal="left" vertical="center"/>
    </xf>
    <xf numFmtId="2" fontId="9" fillId="2" borderId="22" xfId="5" applyNumberFormat="1" applyFont="1" applyFill="1" applyBorder="1" applyAlignment="1">
      <alignment vertical="top"/>
    </xf>
    <xf numFmtId="2" fontId="9" fillId="2" borderId="22" xfId="5" applyNumberFormat="1" applyFont="1" applyFill="1" applyBorder="1" applyAlignment="1">
      <alignment horizontal="center" vertical="top"/>
    </xf>
    <xf numFmtId="2" fontId="9" fillId="2" borderId="23" xfId="5" applyNumberFormat="1" applyFont="1" applyFill="1" applyBorder="1" applyAlignment="1">
      <alignment horizontal="center" vertical="top"/>
    </xf>
    <xf numFmtId="2" fontId="3" fillId="2" borderId="0" xfId="5" applyNumberFormat="1" applyFont="1" applyFill="1"/>
    <xf numFmtId="0" fontId="3" fillId="2" borderId="0" xfId="5" applyFont="1" applyFill="1" applyAlignment="1">
      <alignment vertical="top"/>
    </xf>
    <xf numFmtId="2" fontId="9" fillId="2" borderId="11" xfId="5" applyNumberFormat="1" applyFont="1" applyFill="1" applyBorder="1" applyAlignment="1">
      <alignment horizontal="left" vertical="center"/>
    </xf>
    <xf numFmtId="2" fontId="9" fillId="2" borderId="1" xfId="5" applyNumberFormat="1" applyFont="1" applyFill="1" applyBorder="1" applyAlignment="1">
      <alignment horizontal="center" vertical="top"/>
    </xf>
    <xf numFmtId="2" fontId="9" fillId="2" borderId="12" xfId="5" applyNumberFormat="1" applyFont="1" applyFill="1" applyBorder="1" applyAlignment="1">
      <alignment horizontal="center" vertical="top"/>
    </xf>
    <xf numFmtId="2" fontId="9" fillId="2" borderId="2" xfId="5" applyNumberFormat="1" applyFont="1" applyFill="1" applyBorder="1" applyAlignment="1">
      <alignment horizontal="left" vertical="center"/>
    </xf>
    <xf numFmtId="2" fontId="9" fillId="2" borderId="0" xfId="5" applyNumberFormat="1" applyFont="1" applyFill="1" applyAlignment="1">
      <alignment horizontal="center" vertical="top"/>
    </xf>
    <xf numFmtId="2" fontId="9" fillId="2" borderId="6" xfId="5" applyNumberFormat="1" applyFont="1" applyFill="1" applyBorder="1" applyAlignment="1">
      <alignment horizontal="center" vertical="top" shrinkToFit="1"/>
    </xf>
    <xf numFmtId="0" fontId="9" fillId="2" borderId="24" xfId="5" applyFont="1" applyFill="1" applyBorder="1" applyAlignment="1">
      <alignment horizontal="center" vertical="top"/>
    </xf>
    <xf numFmtId="2" fontId="9" fillId="2" borderId="12" xfId="5" applyNumberFormat="1" applyFont="1" applyFill="1" applyBorder="1" applyAlignment="1">
      <alignment horizontal="center" vertical="top" shrinkToFit="1"/>
    </xf>
    <xf numFmtId="0" fontId="9" fillId="2" borderId="25" xfId="5" applyFont="1" applyFill="1" applyBorder="1" applyAlignment="1">
      <alignment horizontal="center" vertical="top"/>
    </xf>
    <xf numFmtId="166" fontId="9" fillId="2" borderId="43" xfId="10" applyNumberFormat="1" applyFont="1" applyFill="1" applyBorder="1" applyAlignment="1">
      <alignment horizontal="center" vertical="center" shrinkToFit="1"/>
    </xf>
    <xf numFmtId="166" fontId="9" fillId="2" borderId="49" xfId="0" applyNumberFormat="1" applyFont="1" applyFill="1" applyBorder="1" applyAlignment="1">
      <alignment horizontal="center" vertical="center" shrinkToFit="1"/>
    </xf>
    <xf numFmtId="49" fontId="8" fillId="2" borderId="53" xfId="0" applyNumberFormat="1" applyFont="1" applyFill="1" applyBorder="1" applyAlignment="1">
      <alignment horizontal="left" vertical="center" wrapText="1"/>
    </xf>
    <xf numFmtId="165" fontId="9" fillId="2" borderId="40" xfId="0" applyNumberFormat="1" applyFont="1" applyFill="1" applyBorder="1" applyAlignment="1">
      <alignment horizontal="center" vertical="center" shrinkToFit="1"/>
    </xf>
    <xf numFmtId="166" fontId="9" fillId="2" borderId="40" xfId="0" applyNumberFormat="1" applyFont="1" applyFill="1" applyBorder="1" applyAlignment="1">
      <alignment horizontal="center" vertical="center" shrinkToFit="1"/>
    </xf>
    <xf numFmtId="2" fontId="9" fillId="2" borderId="41" xfId="0" applyNumberFormat="1" applyFont="1" applyFill="1" applyBorder="1" applyAlignment="1">
      <alignment horizontal="center" vertical="top" shrinkToFit="1"/>
    </xf>
    <xf numFmtId="2" fontId="9" fillId="2" borderId="32" xfId="0" applyNumberFormat="1" applyFont="1" applyFill="1" applyBorder="1" applyAlignment="1">
      <alignment horizontal="center" vertical="top" shrinkToFit="1"/>
    </xf>
    <xf numFmtId="2" fontId="9" fillId="2" borderId="14" xfId="0" applyNumberFormat="1" applyFont="1" applyFill="1" applyBorder="1" applyAlignment="1">
      <alignment horizontal="center" vertical="top"/>
    </xf>
    <xf numFmtId="0" fontId="43" fillId="2" borderId="0" xfId="11" applyFont="1" applyFill="1" applyAlignment="1">
      <alignment vertical="top"/>
    </xf>
    <xf numFmtId="0" fontId="3" fillId="2" borderId="0" xfId="1" applyFont="1" applyFill="1" applyAlignment="1">
      <alignment vertical="top"/>
    </xf>
    <xf numFmtId="0" fontId="9" fillId="2" borderId="24" xfId="4" applyFont="1" applyFill="1" applyBorder="1" applyAlignment="1">
      <alignment horizontal="center" vertical="top"/>
    </xf>
    <xf numFmtId="0" fontId="24" fillId="2" borderId="0" xfId="1" applyFont="1" applyFill="1" applyAlignment="1">
      <alignment horizontal="center" vertical="center"/>
    </xf>
    <xf numFmtId="0" fontId="9" fillId="2" borderId="0" xfId="0" applyFont="1" applyFill="1" applyAlignment="1">
      <alignment horizontal="center" vertical="top"/>
    </xf>
    <xf numFmtId="0" fontId="9" fillId="2" borderId="25" xfId="4" applyFont="1" applyFill="1" applyBorder="1" applyAlignment="1">
      <alignment horizontal="center" vertical="top"/>
    </xf>
    <xf numFmtId="167" fontId="9" fillId="2" borderId="28" xfId="0" applyNumberFormat="1" applyFont="1" applyFill="1" applyBorder="1" applyAlignment="1">
      <alignment horizontal="center" vertical="center"/>
    </xf>
    <xf numFmtId="9" fontId="27" fillId="2" borderId="19" xfId="3" applyNumberFormat="1" applyFont="1" applyFill="1" applyBorder="1" applyAlignment="1">
      <alignment horizontal="center" vertical="center"/>
    </xf>
    <xf numFmtId="167" fontId="45" fillId="2" borderId="0" xfId="1" applyNumberFormat="1" applyFont="1" applyFill="1"/>
    <xf numFmtId="0" fontId="45" fillId="2" borderId="0" xfId="1" applyFont="1" applyFill="1"/>
    <xf numFmtId="10" fontId="9" fillId="2" borderId="19" xfId="3" applyNumberFormat="1" applyFont="1" applyFill="1" applyBorder="1" applyAlignment="1">
      <alignment horizontal="center" vertical="center"/>
    </xf>
    <xf numFmtId="10" fontId="27" fillId="2" borderId="19" xfId="3" applyNumberFormat="1" applyFont="1" applyFill="1" applyBorder="1" applyAlignment="1">
      <alignment horizontal="center" vertical="center"/>
    </xf>
    <xf numFmtId="0" fontId="34" fillId="2" borderId="0" xfId="1" applyFont="1" applyFill="1" applyAlignment="1">
      <alignment horizontal="center" vertical="top"/>
    </xf>
    <xf numFmtId="0" fontId="34" fillId="2" borderId="0" xfId="1" applyFont="1" applyFill="1" applyAlignment="1">
      <alignment vertical="top"/>
    </xf>
    <xf numFmtId="0" fontId="33" fillId="2" borderId="0" xfId="1" applyFont="1" applyFill="1"/>
    <xf numFmtId="0" fontId="23" fillId="2" borderId="0" xfId="1" applyFont="1" applyFill="1"/>
    <xf numFmtId="0" fontId="45" fillId="2" borderId="0" xfId="1" applyFont="1" applyFill="1" applyAlignment="1">
      <alignment horizontal="center" vertical="center"/>
    </xf>
    <xf numFmtId="0" fontId="47" fillId="2" borderId="0" xfId="1" applyFont="1" applyFill="1" applyAlignment="1">
      <alignment vertical="center"/>
    </xf>
    <xf numFmtId="0" fontId="23" fillId="2" borderId="0" xfId="1" applyFont="1" applyFill="1" applyAlignment="1">
      <alignment horizontal="center"/>
    </xf>
    <xf numFmtId="0" fontId="45" fillId="2" borderId="0" xfId="1" applyFont="1" applyFill="1" applyAlignment="1">
      <alignment horizontal="right"/>
    </xf>
    <xf numFmtId="0" fontId="45" fillId="2" borderId="0" xfId="1" applyFont="1" applyFill="1" applyAlignment="1">
      <alignment horizontal="center"/>
    </xf>
    <xf numFmtId="2" fontId="33" fillId="2" borderId="0" xfId="1" applyNumberFormat="1" applyFont="1" applyFill="1"/>
    <xf numFmtId="0" fontId="9" fillId="2" borderId="0" xfId="4" applyFont="1" applyFill="1" applyBorder="1" applyAlignment="1">
      <alignment vertical="center"/>
    </xf>
    <xf numFmtId="10" fontId="9" fillId="2" borderId="30" xfId="3" applyNumberFormat="1" applyFont="1" applyFill="1" applyBorder="1" applyAlignment="1">
      <alignment horizontal="center" vertical="center"/>
    </xf>
    <xf numFmtId="0" fontId="4" fillId="2" borderId="15" xfId="1" applyFont="1" applyFill="1" applyBorder="1" applyAlignment="1">
      <alignment horizontal="right"/>
    </xf>
    <xf numFmtId="0" fontId="3" fillId="2" borderId="15" xfId="1" applyFont="1" applyFill="1" applyBorder="1"/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right"/>
    </xf>
    <xf numFmtId="164" fontId="3" fillId="2" borderId="15" xfId="1" applyNumberFormat="1" applyFont="1" applyFill="1" applyBorder="1"/>
    <xf numFmtId="0" fontId="9" fillId="2" borderId="15" xfId="1" applyFont="1" applyFill="1" applyBorder="1"/>
    <xf numFmtId="0" fontId="9" fillId="2" borderId="15" xfId="1" applyFont="1" applyFill="1" applyBorder="1" applyAlignment="1">
      <alignment horizontal="left" vertical="center"/>
    </xf>
    <xf numFmtId="0" fontId="3" fillId="2" borderId="15" xfId="1" applyFont="1" applyFill="1" applyBorder="1" applyAlignment="1">
      <alignment horizontal="center" vertical="center"/>
    </xf>
    <xf numFmtId="0" fontId="8" fillId="2" borderId="15" xfId="1" applyFont="1" applyFill="1" applyBorder="1" applyAlignment="1">
      <alignment vertical="center"/>
    </xf>
    <xf numFmtId="2" fontId="9" fillId="2" borderId="15" xfId="1" applyNumberFormat="1" applyFont="1" applyFill="1" applyBorder="1"/>
    <xf numFmtId="0" fontId="10" fillId="2" borderId="15" xfId="1" applyFont="1" applyFill="1" applyBorder="1"/>
    <xf numFmtId="0" fontId="8" fillId="2" borderId="15" xfId="1" applyFont="1" applyFill="1" applyBorder="1"/>
    <xf numFmtId="0" fontId="11" fillId="2" borderId="15" xfId="1" applyFont="1" applyFill="1" applyBorder="1" applyAlignment="1">
      <alignment horizontal="left"/>
    </xf>
    <xf numFmtId="0" fontId="11" fillId="2" borderId="15" xfId="1" applyFont="1" applyFill="1" applyBorder="1"/>
    <xf numFmtId="0" fontId="3" fillId="2" borderId="15" xfId="1" applyFont="1" applyFill="1" applyBorder="1" applyAlignment="1">
      <alignment horizontal="left" vertical="center"/>
    </xf>
    <xf numFmtId="0" fontId="12" fillId="2" borderId="15" xfId="1" applyFont="1" applyFill="1" applyBorder="1" applyAlignment="1">
      <alignment horizontal="left"/>
    </xf>
    <xf numFmtId="14" fontId="9" fillId="2" borderId="15" xfId="1" applyNumberFormat="1" applyFont="1" applyFill="1" applyBorder="1" applyAlignment="1">
      <alignment horizontal="left" vertical="center"/>
    </xf>
    <xf numFmtId="14" fontId="11" fillId="2" borderId="15" xfId="1" applyNumberFormat="1" applyFont="1" applyFill="1" applyBorder="1" applyAlignment="1">
      <alignment horizontal="left"/>
    </xf>
    <xf numFmtId="2" fontId="9" fillId="2" borderId="15" xfId="1" applyNumberFormat="1" applyFont="1" applyFill="1" applyBorder="1" applyAlignment="1">
      <alignment horizontal="left" vertical="center"/>
    </xf>
    <xf numFmtId="0" fontId="14" fillId="2" borderId="15" xfId="1" applyFont="1" applyFill="1" applyBorder="1" applyAlignment="1">
      <alignment horizontal="left"/>
    </xf>
    <xf numFmtId="0" fontId="17" fillId="2" borderId="15" xfId="1" applyFont="1" applyFill="1" applyBorder="1" applyAlignment="1">
      <alignment horizontal="center"/>
    </xf>
    <xf numFmtId="0" fontId="18" fillId="2" borderId="15" xfId="1" applyFont="1" applyFill="1" applyBorder="1" applyAlignment="1">
      <alignment horizontal="center"/>
    </xf>
    <xf numFmtId="0" fontId="19" fillId="2" borderId="15" xfId="1" applyFont="1" applyFill="1" applyBorder="1"/>
    <xf numFmtId="0" fontId="20" fillId="2" borderId="15" xfId="1" applyFont="1" applyFill="1" applyBorder="1" applyAlignment="1">
      <alignment horizontal="right"/>
    </xf>
    <xf numFmtId="0" fontId="20" fillId="2" borderId="15" xfId="1" applyFont="1" applyFill="1" applyBorder="1"/>
    <xf numFmtId="0" fontId="18" fillId="2" borderId="15" xfId="1" applyFont="1" applyFill="1" applyBorder="1"/>
    <xf numFmtId="2" fontId="15" fillId="2" borderId="15" xfId="1" applyNumberFormat="1" applyFont="1" applyFill="1" applyBorder="1"/>
    <xf numFmtId="0" fontId="15" fillId="2" borderId="15" xfId="1" applyFont="1" applyFill="1" applyBorder="1" applyAlignment="1">
      <alignment horizontal="left" vertical="center"/>
    </xf>
    <xf numFmtId="0" fontId="17" fillId="2" borderId="15" xfId="1" applyFont="1" applyFill="1" applyBorder="1" applyAlignment="1">
      <alignment horizontal="left"/>
    </xf>
    <xf numFmtId="0" fontId="20" fillId="2" borderId="15" xfId="1" applyFont="1" applyFill="1" applyBorder="1" applyAlignment="1">
      <alignment horizontal="center"/>
    </xf>
    <xf numFmtId="0" fontId="20" fillId="2" borderId="15" xfId="1" applyFont="1" applyFill="1" applyBorder="1" applyAlignment="1">
      <alignment horizontal="center" vertical="center"/>
    </xf>
    <xf numFmtId="0" fontId="17" fillId="2" borderId="15" xfId="1" applyFont="1" applyFill="1" applyBorder="1" applyAlignment="1">
      <alignment horizontal="center" vertical="center"/>
    </xf>
    <xf numFmtId="0" fontId="18" fillId="2" borderId="15" xfId="1" applyFont="1" applyFill="1" applyBorder="1" applyAlignment="1">
      <alignment horizontal="center" vertical="center"/>
    </xf>
    <xf numFmtId="165" fontId="18" fillId="2" borderId="15" xfId="1" applyNumberFormat="1" applyFont="1" applyFill="1" applyBorder="1"/>
    <xf numFmtId="0" fontId="18" fillId="2" borderId="15" xfId="1" applyFont="1" applyFill="1" applyBorder="1" applyAlignment="1">
      <alignment horizontal="right"/>
    </xf>
    <xf numFmtId="0" fontId="17" fillId="2" borderId="15" xfId="2" applyFont="1" applyFill="1" applyBorder="1" applyAlignment="1">
      <alignment horizontal="left"/>
    </xf>
    <xf numFmtId="2" fontId="16" fillId="2" borderId="15" xfId="1" applyNumberFormat="1" applyFont="1" applyFill="1" applyBorder="1" applyAlignment="1">
      <alignment horizontal="left" vertical="center"/>
    </xf>
    <xf numFmtId="2" fontId="21" fillId="2" borderId="15" xfId="1" applyNumberFormat="1" applyFont="1" applyFill="1" applyBorder="1" applyAlignment="1">
      <alignment horizontal="left" vertical="center"/>
    </xf>
    <xf numFmtId="0" fontId="15" fillId="2" borderId="15" xfId="1" applyFont="1" applyFill="1" applyBorder="1"/>
    <xf numFmtId="0" fontId="22" fillId="2" borderId="15" xfId="3" applyFont="1" applyFill="1" applyBorder="1"/>
    <xf numFmtId="164" fontId="3" fillId="2" borderId="15" xfId="3" applyNumberFormat="1" applyFont="1" applyFill="1" applyBorder="1"/>
    <xf numFmtId="10" fontId="3" fillId="2" borderId="15" xfId="3" applyNumberFormat="1" applyFont="1" applyFill="1" applyBorder="1" applyAlignment="1">
      <alignment horizontal="center"/>
    </xf>
    <xf numFmtId="0" fontId="27" fillId="2" borderId="15" xfId="3" applyFont="1" applyFill="1" applyBorder="1" applyAlignment="1">
      <alignment horizontal="center" vertical="center" wrapText="1"/>
    </xf>
    <xf numFmtId="0" fontId="29" fillId="2" borderId="15" xfId="0" applyFont="1" applyFill="1" applyBorder="1"/>
    <xf numFmtId="2" fontId="9" fillId="2" borderId="15" xfId="4" applyNumberFormat="1" applyFont="1" applyFill="1" applyBorder="1" applyAlignment="1">
      <alignment vertical="top"/>
    </xf>
    <xf numFmtId="0" fontId="9" fillId="2" borderId="15" xfId="4" applyFont="1" applyFill="1" applyBorder="1" applyAlignment="1">
      <alignment horizontal="center" vertical="center" shrinkToFit="1"/>
    </xf>
    <xf numFmtId="2" fontId="9" fillId="2" borderId="15" xfId="4" applyNumberFormat="1" applyFont="1" applyFill="1" applyBorder="1" applyAlignment="1">
      <alignment horizontal="center" vertical="center"/>
    </xf>
    <xf numFmtId="2" fontId="9" fillId="2" borderId="15" xfId="4" applyNumberFormat="1" applyFont="1" applyFill="1" applyBorder="1" applyAlignment="1">
      <alignment horizontal="center" vertical="top"/>
    </xf>
    <xf numFmtId="2" fontId="9" fillId="2" borderId="15" xfId="4" applyNumberFormat="1" applyFont="1" applyFill="1" applyBorder="1" applyAlignment="1">
      <alignment horizontal="center" vertical="top" shrinkToFit="1"/>
    </xf>
    <xf numFmtId="0" fontId="3" fillId="2" borderId="15" xfId="4" applyFont="1" applyFill="1" applyBorder="1"/>
    <xf numFmtId="0" fontId="3" fillId="2" borderId="15" xfId="4" applyFont="1" applyFill="1" applyBorder="1" applyAlignment="1">
      <alignment vertical="top"/>
    </xf>
    <xf numFmtId="49" fontId="9" fillId="2" borderId="15" xfId="4" applyNumberFormat="1" applyFont="1" applyFill="1" applyBorder="1" applyAlignment="1">
      <alignment horizontal="left" vertical="center" wrapText="1"/>
    </xf>
    <xf numFmtId="166" fontId="9" fillId="2" borderId="15" xfId="5" applyNumberFormat="1" applyFont="1" applyFill="1" applyBorder="1" applyAlignment="1">
      <alignment horizontal="center" vertical="center" shrinkToFit="1"/>
    </xf>
    <xf numFmtId="0" fontId="9" fillId="2" borderId="15" xfId="4" applyFont="1" applyFill="1" applyBorder="1" applyAlignment="1">
      <alignment vertical="center"/>
    </xf>
    <xf numFmtId="2" fontId="8" fillId="2" borderId="15" xfId="0" applyNumberFormat="1" applyFont="1" applyFill="1" applyBorder="1" applyAlignment="1">
      <alignment horizontal="left" vertical="top"/>
    </xf>
    <xf numFmtId="0" fontId="9" fillId="2" borderId="15" xfId="0" applyFont="1" applyFill="1" applyBorder="1" applyAlignment="1">
      <alignment horizontal="center" vertical="center" shrinkToFit="1"/>
    </xf>
    <xf numFmtId="2" fontId="9" fillId="2" borderId="15" xfId="0" applyNumberFormat="1" applyFont="1" applyFill="1" applyBorder="1" applyAlignment="1">
      <alignment horizontal="center" vertical="center"/>
    </xf>
    <xf numFmtId="166" fontId="33" fillId="2" borderId="15" xfId="0" applyNumberFormat="1" applyFont="1" applyFill="1" applyBorder="1" applyAlignment="1">
      <alignment horizontal="center" vertical="top"/>
    </xf>
    <xf numFmtId="2" fontId="9" fillId="2" borderId="15" xfId="0" applyNumberFormat="1" applyFont="1" applyFill="1" applyBorder="1" applyAlignment="1">
      <alignment horizontal="center" vertical="top" shrinkToFit="1"/>
    </xf>
    <xf numFmtId="0" fontId="3" fillId="2" borderId="15" xfId="0" applyFont="1" applyFill="1" applyBorder="1"/>
    <xf numFmtId="49" fontId="8" fillId="2" borderId="15" xfId="0" applyNumberFormat="1" applyFont="1" applyFill="1" applyBorder="1" applyAlignment="1">
      <alignment horizontal="left" vertical="center"/>
    </xf>
    <xf numFmtId="166" fontId="33" fillId="2" borderId="15" xfId="0" applyNumberFormat="1" applyFont="1" applyFill="1" applyBorder="1" applyAlignment="1">
      <alignment horizontal="center" vertical="center" shrinkToFit="1"/>
    </xf>
    <xf numFmtId="2" fontId="8" fillId="2" borderId="15" xfId="0" applyNumberFormat="1" applyFont="1" applyFill="1" applyBorder="1" applyAlignment="1">
      <alignment vertical="top"/>
    </xf>
    <xf numFmtId="168" fontId="9" fillId="2" borderId="15" xfId="0" applyNumberFormat="1" applyFont="1" applyFill="1" applyBorder="1" applyAlignment="1">
      <alignment horizontal="center" vertical="center"/>
    </xf>
    <xf numFmtId="2" fontId="33" fillId="2" borderId="15" xfId="0" applyNumberFormat="1" applyFont="1" applyFill="1" applyBorder="1" applyAlignment="1">
      <alignment horizontal="center" vertical="center"/>
    </xf>
    <xf numFmtId="0" fontId="34" fillId="2" borderId="15" xfId="0" applyFont="1" applyFill="1" applyBorder="1" applyAlignment="1">
      <alignment vertical="top"/>
    </xf>
    <xf numFmtId="166" fontId="35" fillId="2" borderId="15" xfId="0" applyNumberFormat="1" applyFont="1" applyFill="1" applyBorder="1" applyAlignment="1">
      <alignment horizontal="center" vertical="center" shrinkToFit="1"/>
    </xf>
    <xf numFmtId="166" fontId="33" fillId="2" borderId="15" xfId="0" applyNumberFormat="1" applyFont="1" applyFill="1" applyBorder="1" applyAlignment="1">
      <alignment horizontal="center" vertical="center"/>
    </xf>
    <xf numFmtId="168" fontId="9" fillId="2" borderId="15" xfId="0" applyNumberFormat="1" applyFont="1" applyFill="1" applyBorder="1" applyAlignment="1">
      <alignment horizontal="center" vertical="center" shrinkToFit="1"/>
    </xf>
    <xf numFmtId="0" fontId="0" fillId="2" borderId="15" xfId="0" applyFill="1" applyBorder="1"/>
    <xf numFmtId="49" fontId="8" fillId="2" borderId="15" xfId="0" applyNumberFormat="1" applyFont="1" applyFill="1" applyBorder="1" applyAlignment="1">
      <alignment horizontal="left" vertical="center" wrapText="1"/>
    </xf>
    <xf numFmtId="166" fontId="9" fillId="2" borderId="15" xfId="0" applyNumberFormat="1" applyFont="1" applyFill="1" applyBorder="1" applyAlignment="1">
      <alignment horizontal="center" vertical="center"/>
    </xf>
    <xf numFmtId="166" fontId="9" fillId="2" borderId="15" xfId="0" applyNumberFormat="1" applyFont="1" applyFill="1" applyBorder="1" applyAlignment="1">
      <alignment horizontal="center" vertical="top"/>
    </xf>
    <xf numFmtId="166" fontId="9" fillId="2" borderId="15" xfId="0" applyNumberFormat="1" applyFont="1" applyFill="1" applyBorder="1" applyAlignment="1">
      <alignment horizontal="center" vertical="center" shrinkToFit="1"/>
    </xf>
    <xf numFmtId="2" fontId="8" fillId="2" borderId="15" xfId="0" applyNumberFormat="1" applyFont="1" applyFill="1" applyBorder="1" applyAlignment="1">
      <alignment vertical="center"/>
    </xf>
    <xf numFmtId="0" fontId="9" fillId="2" borderId="15" xfId="0" applyFont="1" applyFill="1" applyBorder="1"/>
    <xf numFmtId="167" fontId="9" fillId="2" borderId="15" xfId="0" applyNumberFormat="1" applyFont="1" applyFill="1" applyBorder="1" applyAlignment="1">
      <alignment horizontal="center" vertical="center" shrinkToFit="1"/>
    </xf>
    <xf numFmtId="2" fontId="8" fillId="2" borderId="15" xfId="0" applyNumberFormat="1" applyFont="1" applyFill="1" applyBorder="1" applyAlignment="1">
      <alignment horizontal="left" vertical="center"/>
    </xf>
    <xf numFmtId="0" fontId="9" fillId="2" borderId="15" xfId="0" applyFont="1" applyFill="1" applyBorder="1" applyAlignment="1">
      <alignment vertical="top"/>
    </xf>
    <xf numFmtId="166" fontId="9" fillId="2" borderId="15" xfId="6" applyNumberFormat="1" applyFont="1" applyFill="1" applyBorder="1" applyAlignment="1">
      <alignment horizontal="center" vertical="center" shrinkToFit="1"/>
    </xf>
    <xf numFmtId="0" fontId="38" fillId="2" borderId="15" xfId="0" applyFont="1" applyFill="1" applyBorder="1" applyAlignment="1">
      <alignment vertical="top"/>
    </xf>
    <xf numFmtId="2" fontId="9" fillId="2" borderId="15" xfId="4" applyNumberFormat="1" applyFont="1" applyFill="1" applyBorder="1" applyAlignment="1">
      <alignment vertical="center"/>
    </xf>
    <xf numFmtId="0" fontId="15" fillId="2" borderId="15" xfId="0" applyFont="1" applyFill="1" applyBorder="1" applyAlignment="1">
      <alignment vertical="top"/>
    </xf>
    <xf numFmtId="2" fontId="9" fillId="2" borderId="15" xfId="5" applyNumberFormat="1" applyFont="1" applyFill="1" applyBorder="1" applyAlignment="1">
      <alignment vertical="center"/>
    </xf>
    <xf numFmtId="0" fontId="9" fillId="2" borderId="15" xfId="5" applyFont="1" applyFill="1" applyBorder="1" applyAlignment="1">
      <alignment horizontal="center" vertical="center" shrinkToFit="1"/>
    </xf>
    <xf numFmtId="2" fontId="9" fillId="2" borderId="15" xfId="5" applyNumberFormat="1" applyFont="1" applyFill="1" applyBorder="1" applyAlignment="1">
      <alignment horizontal="center" vertical="center"/>
    </xf>
    <xf numFmtId="2" fontId="9" fillId="2" borderId="15" xfId="5" applyNumberFormat="1" applyFont="1" applyFill="1" applyBorder="1" applyAlignment="1">
      <alignment vertical="top"/>
    </xf>
    <xf numFmtId="2" fontId="9" fillId="2" borderId="15" xfId="5" applyNumberFormat="1" applyFont="1" applyFill="1" applyBorder="1" applyAlignment="1">
      <alignment vertical="top" shrinkToFit="1"/>
    </xf>
    <xf numFmtId="0" fontId="9" fillId="2" borderId="15" xfId="5" applyFont="1" applyFill="1" applyBorder="1" applyAlignment="1">
      <alignment vertical="top"/>
    </xf>
    <xf numFmtId="2" fontId="25" fillId="2" borderId="15" xfId="8" applyNumberFormat="1" applyFont="1" applyFill="1" applyBorder="1" applyAlignment="1">
      <alignment vertical="center"/>
    </xf>
    <xf numFmtId="2" fontId="25" fillId="2" borderId="15" xfId="8" applyNumberFormat="1" applyFont="1" applyFill="1" applyBorder="1" applyAlignment="1">
      <alignment vertical="top"/>
    </xf>
    <xf numFmtId="0" fontId="9" fillId="2" borderId="15" xfId="0" applyFont="1" applyFill="1" applyBorder="1" applyAlignment="1">
      <alignment vertical="center"/>
    </xf>
    <xf numFmtId="2" fontId="9" fillId="2" borderId="15" xfId="5" applyNumberFormat="1" applyFont="1" applyFill="1" applyBorder="1" applyAlignment="1">
      <alignment horizontal="left" vertical="center"/>
    </xf>
    <xf numFmtId="2" fontId="9" fillId="2" borderId="15" xfId="5" applyNumberFormat="1" applyFont="1" applyFill="1" applyBorder="1" applyAlignment="1">
      <alignment horizontal="center" vertical="top"/>
    </xf>
    <xf numFmtId="2" fontId="3" fillId="2" borderId="15" xfId="5" applyNumberFormat="1" applyFont="1" applyFill="1" applyBorder="1"/>
    <xf numFmtId="2" fontId="9" fillId="2" borderId="15" xfId="5" applyNumberFormat="1" applyFont="1" applyFill="1" applyBorder="1" applyAlignment="1">
      <alignment horizontal="center" vertical="top" shrinkToFit="1"/>
    </xf>
    <xf numFmtId="0" fontId="9" fillId="2" borderId="15" xfId="5" applyFont="1" applyFill="1" applyBorder="1" applyAlignment="1">
      <alignment horizontal="center" vertical="top"/>
    </xf>
    <xf numFmtId="0" fontId="3" fillId="2" borderId="15" xfId="5" applyFont="1" applyFill="1" applyBorder="1" applyAlignment="1">
      <alignment vertical="top"/>
    </xf>
    <xf numFmtId="164" fontId="9" fillId="2" borderId="15" xfId="0" applyNumberFormat="1" applyFont="1" applyFill="1" applyBorder="1" applyAlignment="1">
      <alignment vertical="top"/>
    </xf>
    <xf numFmtId="166" fontId="9" fillId="2" borderId="15" xfId="10" applyNumberFormat="1" applyFont="1" applyFill="1" applyBorder="1" applyAlignment="1">
      <alignment horizontal="center" vertical="center" shrinkToFit="1"/>
    </xf>
    <xf numFmtId="165" fontId="9" fillId="2" borderId="15" xfId="0" applyNumberFormat="1" applyFont="1" applyFill="1" applyBorder="1" applyAlignment="1">
      <alignment horizontal="center" vertical="center" shrinkToFit="1"/>
    </xf>
    <xf numFmtId="164" fontId="34" fillId="2" borderId="15" xfId="0" applyNumberFormat="1" applyFont="1" applyFill="1" applyBorder="1" applyAlignment="1">
      <alignment vertical="top"/>
    </xf>
    <xf numFmtId="2" fontId="9" fillId="2" borderId="15" xfId="0" applyNumberFormat="1" applyFont="1" applyFill="1" applyBorder="1" applyAlignment="1">
      <alignment horizontal="center" vertical="top"/>
    </xf>
    <xf numFmtId="2" fontId="9" fillId="2" borderId="15" xfId="1" applyNumberFormat="1" applyFont="1" applyFill="1" applyBorder="1" applyAlignment="1">
      <alignment vertical="top"/>
    </xf>
    <xf numFmtId="2" fontId="9" fillId="2" borderId="15" xfId="1" applyNumberFormat="1" applyFont="1" applyFill="1" applyBorder="1" applyAlignment="1">
      <alignment horizontal="center" vertical="top"/>
    </xf>
    <xf numFmtId="0" fontId="3" fillId="2" borderId="15" xfId="1" applyFont="1" applyFill="1" applyBorder="1" applyAlignment="1">
      <alignment vertical="top"/>
    </xf>
    <xf numFmtId="0" fontId="9" fillId="2" borderId="15" xfId="4" applyFont="1" applyFill="1" applyBorder="1" applyAlignment="1">
      <alignment horizontal="center" vertical="top"/>
    </xf>
    <xf numFmtId="167" fontId="9" fillId="2" borderId="15" xfId="0" applyNumberFormat="1" applyFont="1" applyFill="1" applyBorder="1" applyAlignment="1">
      <alignment horizontal="center" vertical="center"/>
    </xf>
    <xf numFmtId="9" fontId="27" fillId="2" borderId="15" xfId="3" applyNumberFormat="1" applyFont="1" applyFill="1" applyBorder="1" applyAlignment="1">
      <alignment horizontal="center" vertical="center"/>
    </xf>
    <xf numFmtId="10" fontId="9" fillId="2" borderId="15" xfId="3" applyNumberFormat="1" applyFont="1" applyFill="1" applyBorder="1" applyAlignment="1">
      <alignment horizontal="center" vertical="center"/>
    </xf>
    <xf numFmtId="10" fontId="27" fillId="2" borderId="15" xfId="3" applyNumberFormat="1" applyFont="1" applyFill="1" applyBorder="1" applyAlignment="1">
      <alignment horizontal="center" vertical="center"/>
    </xf>
    <xf numFmtId="0" fontId="33" fillId="2" borderId="0" xfId="1" applyFont="1" applyFill="1" applyAlignment="1">
      <alignment horizontal="left" vertical="center"/>
    </xf>
    <xf numFmtId="0" fontId="49" fillId="0" borderId="0" xfId="0" applyFont="1"/>
    <xf numFmtId="0" fontId="23" fillId="2" borderId="15" xfId="1" applyFont="1" applyFill="1" applyBorder="1" applyAlignment="1">
      <alignment horizontal="center" vertical="center"/>
    </xf>
    <xf numFmtId="0" fontId="23" fillId="2" borderId="0" xfId="1" applyFont="1" applyFill="1" applyAlignment="1">
      <alignment horizontal="center" vertical="center"/>
    </xf>
    <xf numFmtId="0" fontId="1" fillId="0" borderId="0" xfId="0" applyFont="1"/>
    <xf numFmtId="0" fontId="51" fillId="2" borderId="15" xfId="11" applyFont="1" applyFill="1" applyBorder="1" applyAlignment="1">
      <alignment vertical="top"/>
    </xf>
    <xf numFmtId="0" fontId="51" fillId="2" borderId="0" xfId="11" applyFont="1" applyFill="1" applyAlignment="1">
      <alignment vertical="top"/>
    </xf>
    <xf numFmtId="0" fontId="52" fillId="2" borderId="0" xfId="1" applyFont="1" applyFill="1"/>
    <xf numFmtId="0" fontId="52" fillId="2" borderId="0" xfId="1" applyFont="1" applyFill="1" applyAlignment="1">
      <alignment horizontal="center" vertical="center"/>
    </xf>
    <xf numFmtId="0" fontId="53" fillId="2" borderId="0" xfId="1" applyFont="1" applyFill="1" applyAlignment="1">
      <alignment vertical="center"/>
    </xf>
    <xf numFmtId="0" fontId="52" fillId="2" borderId="0" xfId="1" applyFont="1" applyFill="1" applyAlignment="1">
      <alignment horizontal="center"/>
    </xf>
    <xf numFmtId="0" fontId="52" fillId="2" borderId="0" xfId="1" applyFont="1" applyFill="1" applyAlignment="1">
      <alignment horizontal="right"/>
    </xf>
    <xf numFmtId="2" fontId="54" fillId="2" borderId="0" xfId="1" applyNumberFormat="1" applyFont="1" applyFill="1"/>
    <xf numFmtId="0" fontId="55" fillId="0" borderId="0" xfId="0" applyFont="1"/>
    <xf numFmtId="169" fontId="52" fillId="2" borderId="0" xfId="1" applyNumberFormat="1" applyFont="1" applyFill="1"/>
    <xf numFmtId="0" fontId="52" fillId="2" borderId="0" xfId="1" applyFont="1" applyFill="1" applyBorder="1"/>
    <xf numFmtId="0" fontId="52" fillId="2" borderId="0" xfId="1" applyFont="1" applyFill="1" applyBorder="1" applyAlignment="1">
      <alignment horizontal="center" vertical="center"/>
    </xf>
    <xf numFmtId="0" fontId="53" fillId="2" borderId="0" xfId="1" applyFont="1" applyFill="1" applyBorder="1" applyAlignment="1">
      <alignment vertical="center"/>
    </xf>
    <xf numFmtId="0" fontId="52" fillId="2" borderId="0" xfId="1" applyFont="1" applyFill="1" applyBorder="1" applyAlignment="1">
      <alignment horizontal="center"/>
    </xf>
    <xf numFmtId="0" fontId="52" fillId="2" borderId="0" xfId="1" applyFont="1" applyFill="1" applyBorder="1" applyAlignment="1">
      <alignment horizontal="right"/>
    </xf>
    <xf numFmtId="2" fontId="54" fillId="2" borderId="0" xfId="1" applyNumberFormat="1" applyFont="1" applyFill="1" applyBorder="1"/>
    <xf numFmtId="165" fontId="54" fillId="2" borderId="0" xfId="3" applyNumberFormat="1" applyFont="1" applyFill="1" applyBorder="1" applyAlignment="1">
      <alignment horizontal="center" vertical="center"/>
    </xf>
    <xf numFmtId="0" fontId="56" fillId="0" borderId="0" xfId="1" applyFont="1" applyBorder="1" applyAlignment="1">
      <alignment vertical="center"/>
    </xf>
    <xf numFmtId="0" fontId="27" fillId="3" borderId="15" xfId="1" applyFont="1" applyFill="1" applyBorder="1" applyAlignment="1">
      <alignment horizontal="center" vertical="top"/>
    </xf>
    <xf numFmtId="0" fontId="27" fillId="3" borderId="15" xfId="1" applyFont="1" applyFill="1" applyBorder="1" applyAlignment="1">
      <alignment vertical="top"/>
    </xf>
    <xf numFmtId="167" fontId="44" fillId="3" borderId="15" xfId="1" applyNumberFormat="1" applyFont="1" applyFill="1" applyBorder="1"/>
    <xf numFmtId="0" fontId="9" fillId="4" borderId="15" xfId="1" applyFont="1" applyFill="1" applyBorder="1" applyAlignment="1">
      <alignment horizontal="center" vertical="top"/>
    </xf>
    <xf numFmtId="0" fontId="9" fillId="4" borderId="15" xfId="1" applyFont="1" applyFill="1" applyBorder="1" applyAlignment="1">
      <alignment vertical="top"/>
    </xf>
    <xf numFmtId="0" fontId="3" fillId="4" borderId="15" xfId="3" applyFont="1" applyFill="1" applyBorder="1" applyAlignment="1">
      <alignment horizontal="left" vertical="center"/>
    </xf>
    <xf numFmtId="9" fontId="9" fillId="4" borderId="15" xfId="3" applyNumberFormat="1" applyFont="1" applyFill="1" applyBorder="1" applyAlignment="1">
      <alignment horizontal="center" vertical="center"/>
    </xf>
    <xf numFmtId="2" fontId="9" fillId="4" borderId="15" xfId="1" applyNumberFormat="1" applyFont="1" applyFill="1" applyBorder="1" applyAlignment="1">
      <alignment horizontal="center" vertical="center" shrinkToFit="1"/>
    </xf>
    <xf numFmtId="2" fontId="9" fillId="4" borderId="15" xfId="1" applyNumberFormat="1" applyFont="1" applyFill="1" applyBorder="1" applyAlignment="1">
      <alignment vertical="top"/>
    </xf>
    <xf numFmtId="2" fontId="9" fillId="4" borderId="15" xfId="1" applyNumberFormat="1" applyFont="1" applyFill="1" applyBorder="1" applyAlignment="1">
      <alignment vertical="top" shrinkToFit="1"/>
    </xf>
    <xf numFmtId="2" fontId="8" fillId="4" borderId="15" xfId="1" applyNumberFormat="1" applyFont="1" applyFill="1" applyBorder="1" applyAlignment="1">
      <alignment vertical="top"/>
    </xf>
    <xf numFmtId="0" fontId="9" fillId="4" borderId="15" xfId="1" applyFont="1" applyFill="1" applyBorder="1" applyAlignment="1">
      <alignment horizontal="center" vertical="center" shrinkToFit="1"/>
    </xf>
    <xf numFmtId="2" fontId="9" fillId="4" borderId="15" xfId="1" applyNumberFormat="1" applyFont="1" applyFill="1" applyBorder="1" applyAlignment="1">
      <alignment horizontal="center" vertical="center"/>
    </xf>
    <xf numFmtId="167" fontId="9" fillId="4" borderId="15" xfId="1" applyNumberFormat="1" applyFont="1" applyFill="1" applyBorder="1" applyAlignment="1">
      <alignment vertical="center" shrinkToFit="1"/>
    </xf>
    <xf numFmtId="2" fontId="9" fillId="4" borderId="15" xfId="1" applyNumberFormat="1" applyFont="1" applyFill="1" applyBorder="1" applyAlignment="1">
      <alignment vertical="center" shrinkToFit="1"/>
    </xf>
    <xf numFmtId="0" fontId="45" fillId="4" borderId="15" xfId="1" applyFont="1" applyFill="1" applyBorder="1"/>
    <xf numFmtId="2" fontId="3" fillId="4" borderId="15" xfId="3" applyNumberFormat="1" applyFont="1" applyFill="1" applyBorder="1" applyAlignment="1">
      <alignment horizontal="right"/>
    </xf>
    <xf numFmtId="0" fontId="9" fillId="3" borderId="15" xfId="1" applyFont="1" applyFill="1" applyBorder="1" applyAlignment="1">
      <alignment horizontal="center" vertical="top"/>
    </xf>
    <xf numFmtId="0" fontId="9" fillId="3" borderId="15" xfId="1" applyFont="1" applyFill="1" applyBorder="1" applyAlignment="1">
      <alignment vertical="top"/>
    </xf>
    <xf numFmtId="0" fontId="28" fillId="3" borderId="15" xfId="3" applyFont="1" applyFill="1" applyBorder="1" applyAlignment="1">
      <alignment horizontal="left" vertical="center"/>
    </xf>
    <xf numFmtId="0" fontId="9" fillId="3" borderId="15" xfId="3" applyFont="1" applyFill="1" applyBorder="1" applyAlignment="1">
      <alignment horizontal="center" vertical="center"/>
    </xf>
    <xf numFmtId="2" fontId="9" fillId="3" borderId="15" xfId="1" applyNumberFormat="1" applyFont="1" applyFill="1" applyBorder="1" applyAlignment="1">
      <alignment horizontal="center" vertical="center" shrinkToFit="1"/>
    </xf>
    <xf numFmtId="2" fontId="9" fillId="3" borderId="15" xfId="1" applyNumberFormat="1" applyFont="1" applyFill="1" applyBorder="1" applyAlignment="1">
      <alignment vertical="top"/>
    </xf>
    <xf numFmtId="2" fontId="9" fillId="3" borderId="15" xfId="1" applyNumberFormat="1" applyFont="1" applyFill="1" applyBorder="1" applyAlignment="1">
      <alignment vertical="top" shrinkToFit="1"/>
    </xf>
    <xf numFmtId="2" fontId="8" fillId="3" borderId="15" xfId="1" applyNumberFormat="1" applyFont="1" applyFill="1" applyBorder="1" applyAlignment="1">
      <alignment vertical="top"/>
    </xf>
    <xf numFmtId="0" fontId="9" fillId="3" borderId="15" xfId="1" applyFont="1" applyFill="1" applyBorder="1" applyAlignment="1">
      <alignment horizontal="center" vertical="center" shrinkToFit="1"/>
    </xf>
    <xf numFmtId="2" fontId="9" fillId="3" borderId="15" xfId="1" applyNumberFormat="1" applyFont="1" applyFill="1" applyBorder="1" applyAlignment="1">
      <alignment horizontal="center" vertical="center"/>
    </xf>
    <xf numFmtId="167" fontId="9" fillId="3" borderId="15" xfId="1" applyNumberFormat="1" applyFont="1" applyFill="1" applyBorder="1" applyAlignment="1">
      <alignment vertical="center" shrinkToFit="1"/>
    </xf>
    <xf numFmtId="2" fontId="9" fillId="3" borderId="15" xfId="1" applyNumberFormat="1" applyFont="1" applyFill="1" applyBorder="1" applyAlignment="1">
      <alignment vertical="center" shrinkToFit="1"/>
    </xf>
    <xf numFmtId="0" fontId="45" fillId="3" borderId="15" xfId="1" applyFont="1" applyFill="1" applyBorder="1"/>
    <xf numFmtId="2" fontId="3" fillId="3" borderId="15" xfId="3" applyNumberFormat="1" applyFont="1" applyFill="1" applyBorder="1" applyAlignment="1">
      <alignment horizontal="right" vertical="top"/>
    </xf>
    <xf numFmtId="0" fontId="11" fillId="3" borderId="15" xfId="3" applyFont="1" applyFill="1" applyBorder="1" applyAlignment="1">
      <alignment horizontal="right" vertical="center"/>
    </xf>
    <xf numFmtId="2" fontId="11" fillId="3" borderId="15" xfId="1" applyNumberFormat="1" applyFont="1" applyFill="1" applyBorder="1" applyAlignment="1">
      <alignment horizontal="right" vertical="center" shrinkToFit="1"/>
    </xf>
    <xf numFmtId="2" fontId="11" fillId="3" borderId="15" xfId="1" applyNumberFormat="1" applyFont="1" applyFill="1" applyBorder="1" applyAlignment="1">
      <alignment horizontal="right" vertical="center"/>
    </xf>
    <xf numFmtId="2" fontId="24" fillId="3" borderId="15" xfId="1" applyNumberFormat="1" applyFont="1" applyFill="1" applyBorder="1" applyAlignment="1">
      <alignment vertical="center"/>
    </xf>
    <xf numFmtId="0" fontId="27" fillId="3" borderId="15" xfId="1" applyFont="1" applyFill="1" applyBorder="1" applyAlignment="1">
      <alignment horizontal="right" vertical="center" shrinkToFit="1"/>
    </xf>
    <xf numFmtId="2" fontId="27" fillId="3" borderId="15" xfId="1" applyNumberFormat="1" applyFont="1" applyFill="1" applyBorder="1" applyAlignment="1">
      <alignment horizontal="right" vertical="center"/>
    </xf>
    <xf numFmtId="2" fontId="27" fillId="3" borderId="15" xfId="1" applyNumberFormat="1" applyFont="1" applyFill="1" applyBorder="1" applyAlignment="1">
      <alignment horizontal="right" vertical="center" shrinkToFit="1"/>
    </xf>
    <xf numFmtId="167" fontId="27" fillId="3" borderId="15" xfId="1" applyNumberFormat="1" applyFont="1" applyFill="1" applyBorder="1" applyAlignment="1">
      <alignment horizontal="right" vertical="center" shrinkToFit="1"/>
    </xf>
    <xf numFmtId="167" fontId="10" fillId="3" borderId="15" xfId="3" applyNumberFormat="1" applyFont="1" applyFill="1" applyBorder="1" applyAlignment="1">
      <alignment horizontal="right"/>
    </xf>
    <xf numFmtId="0" fontId="3" fillId="3" borderId="15" xfId="11" applyFont="1" applyFill="1" applyBorder="1" applyAlignment="1">
      <alignment horizontal="center" vertical="top"/>
    </xf>
    <xf numFmtId="0" fontId="51" fillId="3" borderId="15" xfId="11" applyFont="1" applyFill="1" applyBorder="1" applyAlignment="1">
      <alignment vertical="top"/>
    </xf>
    <xf numFmtId="0" fontId="28" fillId="3" borderId="15" xfId="11" applyFont="1" applyFill="1" applyBorder="1" applyAlignment="1">
      <alignment vertical="center"/>
    </xf>
    <xf numFmtId="0" fontId="11" fillId="3" borderId="15" xfId="11" applyFont="1" applyFill="1" applyBorder="1" applyAlignment="1">
      <alignment vertical="top"/>
    </xf>
    <xf numFmtId="164" fontId="51" fillId="3" borderId="15" xfId="11" applyNumberFormat="1" applyFont="1" applyFill="1" applyBorder="1" applyAlignment="1">
      <alignment horizontal="center" vertical="top"/>
    </xf>
    <xf numFmtId="2" fontId="3" fillId="3" borderId="15" xfId="3" applyNumberFormat="1" applyFont="1" applyFill="1" applyBorder="1" applyAlignment="1">
      <alignment horizontal="center" vertical="center"/>
    </xf>
    <xf numFmtId="0" fontId="23" fillId="3" borderId="15" xfId="1" applyFont="1" applyFill="1" applyBorder="1" applyAlignment="1">
      <alignment horizontal="center" vertical="center"/>
    </xf>
    <xf numFmtId="0" fontId="28" fillId="3" borderId="15" xfId="1" applyFont="1" applyFill="1" applyBorder="1" applyAlignment="1">
      <alignment vertical="center"/>
    </xf>
    <xf numFmtId="0" fontId="28" fillId="3" borderId="15" xfId="1" applyFont="1" applyFill="1" applyBorder="1" applyAlignment="1">
      <alignment horizontal="center" vertical="center" wrapText="1"/>
    </xf>
    <xf numFmtId="0" fontId="28" fillId="3" borderId="15" xfId="1" applyFont="1" applyFill="1" applyBorder="1" applyAlignment="1">
      <alignment vertical="center" wrapText="1"/>
    </xf>
    <xf numFmtId="0" fontId="50" fillId="3" borderId="15" xfId="1" applyFont="1" applyFill="1" applyBorder="1" applyAlignment="1">
      <alignment horizontal="center" vertical="center" wrapText="1"/>
    </xf>
    <xf numFmtId="2" fontId="23" fillId="3" borderId="15" xfId="3" applyNumberFormat="1" applyFont="1" applyFill="1" applyBorder="1" applyAlignment="1">
      <alignment horizontal="center" vertical="center"/>
    </xf>
    <xf numFmtId="0" fontId="28" fillId="3" borderId="15" xfId="1" applyFont="1" applyFill="1" applyBorder="1" applyAlignment="1">
      <alignment horizontal="center" vertical="center"/>
    </xf>
    <xf numFmtId="0" fontId="28" fillId="3" borderId="15" xfId="1" applyFont="1" applyFill="1" applyBorder="1" applyAlignment="1">
      <alignment horizontal="center"/>
    </xf>
    <xf numFmtId="1" fontId="28" fillId="3" borderId="15" xfId="1" applyNumberFormat="1" applyFont="1" applyFill="1" applyBorder="1" applyAlignment="1">
      <alignment horizontal="center" vertical="center"/>
    </xf>
    <xf numFmtId="0" fontId="27" fillId="3" borderId="15" xfId="1" applyFont="1" applyFill="1" applyBorder="1" applyAlignment="1">
      <alignment horizontal="center" vertical="center" wrapText="1"/>
    </xf>
    <xf numFmtId="0" fontId="24" fillId="3" borderId="15" xfId="1" applyFont="1" applyFill="1" applyBorder="1" applyAlignment="1">
      <alignment horizontal="center" vertical="center" wrapText="1"/>
    </xf>
    <xf numFmtId="0" fontId="24" fillId="3" borderId="15" xfId="1" applyFont="1" applyFill="1" applyBorder="1" applyAlignment="1">
      <alignment horizontal="center" vertical="center"/>
    </xf>
    <xf numFmtId="1" fontId="24" fillId="3" borderId="15" xfId="1" applyNumberFormat="1" applyFont="1" applyFill="1" applyBorder="1" applyAlignment="1">
      <alignment horizontal="center" vertical="center"/>
    </xf>
    <xf numFmtId="49" fontId="27" fillId="3" borderId="15" xfId="3" applyNumberFormat="1" applyFont="1" applyFill="1" applyBorder="1" applyAlignment="1">
      <alignment horizontal="center" vertical="center" wrapText="1"/>
    </xf>
    <xf numFmtId="2" fontId="57" fillId="3" borderId="15" xfId="3" applyNumberFormat="1" applyFont="1" applyFill="1" applyBorder="1" applyAlignment="1">
      <alignment horizontal="center" vertical="center"/>
    </xf>
    <xf numFmtId="0" fontId="4" fillId="3" borderId="0" xfId="1" applyFont="1" applyFill="1" applyAlignment="1">
      <alignment horizontal="right"/>
    </xf>
    <xf numFmtId="0" fontId="5" fillId="3" borderId="0" xfId="1" applyFont="1" applyFill="1"/>
    <xf numFmtId="0" fontId="6" fillId="3" borderId="0" xfId="1" applyFont="1" applyFill="1" applyAlignment="1">
      <alignment horizontal="center" vertical="center"/>
    </xf>
    <xf numFmtId="0" fontId="7" fillId="3" borderId="0" xfId="1" applyFont="1" applyFill="1" applyAlignment="1">
      <alignment vertical="center"/>
    </xf>
    <xf numFmtId="0" fontId="6" fillId="3" borderId="0" xfId="1" applyFont="1" applyFill="1"/>
    <xf numFmtId="0" fontId="3" fillId="3" borderId="0" xfId="1" applyFont="1" applyFill="1"/>
    <xf numFmtId="0" fontId="3" fillId="3" borderId="0" xfId="1" applyFont="1" applyFill="1" applyAlignment="1">
      <alignment horizontal="center"/>
    </xf>
    <xf numFmtId="0" fontId="3" fillId="3" borderId="0" xfId="1" applyFont="1" applyFill="1" applyAlignment="1">
      <alignment horizontal="right"/>
    </xf>
    <xf numFmtId="49" fontId="8" fillId="3" borderId="0" xfId="1" applyNumberFormat="1" applyFont="1" applyFill="1" applyAlignment="1">
      <alignment horizontal="center"/>
    </xf>
    <xf numFmtId="2" fontId="9" fillId="3" borderId="0" xfId="1" applyNumberFormat="1" applyFont="1" applyFill="1" applyAlignment="1">
      <alignment horizontal="left"/>
    </xf>
    <xf numFmtId="164" fontId="3" fillId="3" borderId="0" xfId="1" applyNumberFormat="1" applyFont="1" applyFill="1"/>
    <xf numFmtId="0" fontId="9" fillId="3" borderId="0" xfId="1" applyFont="1" applyFill="1"/>
    <xf numFmtId="0" fontId="9" fillId="3" borderId="0" xfId="1" applyFont="1" applyFill="1" applyAlignment="1">
      <alignment horizontal="left" vertical="center"/>
    </xf>
    <xf numFmtId="0" fontId="3" fillId="3" borderId="0" xfId="1" applyFont="1" applyFill="1" applyAlignment="1">
      <alignment horizontal="center" vertical="center"/>
    </xf>
    <xf numFmtId="0" fontId="8" fillId="3" borderId="0" xfId="1" applyFont="1" applyFill="1" applyAlignment="1">
      <alignment vertical="center"/>
    </xf>
    <xf numFmtId="2" fontId="9" fillId="3" borderId="0" xfId="1" applyNumberFormat="1" applyFont="1" applyFill="1"/>
    <xf numFmtId="0" fontId="10" fillId="3" borderId="0" xfId="1" applyFont="1" applyFill="1"/>
    <xf numFmtId="0" fontId="8" fillId="3" borderId="0" xfId="1" applyFont="1" applyFill="1"/>
    <xf numFmtId="0" fontId="11" fillId="3" borderId="0" xfId="1" applyFont="1" applyFill="1" applyAlignment="1">
      <alignment horizontal="left"/>
    </xf>
    <xf numFmtId="0" fontId="11" fillId="3" borderId="0" xfId="1" applyFont="1" applyFill="1"/>
    <xf numFmtId="0" fontId="3" fillId="3" borderId="0" xfId="1" applyFont="1" applyFill="1" applyAlignment="1">
      <alignment horizontal="left" vertical="center"/>
    </xf>
    <xf numFmtId="0" fontId="12" fillId="3" borderId="0" xfId="1" applyFont="1" applyFill="1" applyAlignment="1">
      <alignment horizontal="left"/>
    </xf>
    <xf numFmtId="14" fontId="9" fillId="3" borderId="0" xfId="1" applyNumberFormat="1" applyFont="1" applyFill="1" applyAlignment="1">
      <alignment horizontal="left" vertical="center"/>
    </xf>
    <xf numFmtId="14" fontId="11" fillId="3" borderId="0" xfId="1" applyNumberFormat="1" applyFont="1" applyFill="1" applyAlignment="1">
      <alignment horizontal="left"/>
    </xf>
    <xf numFmtId="2" fontId="9" fillId="3" borderId="0" xfId="1" applyNumberFormat="1" applyFont="1" applyFill="1" applyAlignment="1">
      <alignment horizontal="left" vertical="center"/>
    </xf>
    <xf numFmtId="0" fontId="14" fillId="3" borderId="0" xfId="1" applyFont="1" applyFill="1" applyAlignment="1">
      <alignment horizontal="left"/>
    </xf>
    <xf numFmtId="0" fontId="17" fillId="3" borderId="0" xfId="1" applyFont="1" applyFill="1" applyAlignment="1">
      <alignment horizontal="center"/>
    </xf>
    <xf numFmtId="0" fontId="18" fillId="3" borderId="0" xfId="1" applyFont="1" applyFill="1" applyAlignment="1">
      <alignment horizontal="center"/>
    </xf>
    <xf numFmtId="0" fontId="19" fillId="3" borderId="0" xfId="1" applyFont="1" applyFill="1"/>
    <xf numFmtId="0" fontId="20" fillId="3" borderId="0" xfId="1" applyFont="1" applyFill="1" applyAlignment="1">
      <alignment horizontal="right"/>
    </xf>
    <xf numFmtId="0" fontId="20" fillId="3" borderId="0" xfId="1" applyFont="1" applyFill="1"/>
    <xf numFmtId="0" fontId="18" fillId="3" borderId="0" xfId="1" applyFont="1" applyFill="1"/>
    <xf numFmtId="2" fontId="15" fillId="3" borderId="0" xfId="1" applyNumberFormat="1" applyFont="1" applyFill="1"/>
    <xf numFmtId="0" fontId="15" fillId="3" borderId="0" xfId="1" applyFont="1" applyFill="1" applyAlignment="1">
      <alignment horizontal="left" vertical="center"/>
    </xf>
    <xf numFmtId="0" fontId="17" fillId="3" borderId="0" xfId="1" applyFont="1" applyFill="1" applyAlignment="1">
      <alignment horizontal="left"/>
    </xf>
    <xf numFmtId="0" fontId="20" fillId="3" borderId="0" xfId="1" applyFont="1" applyFill="1" applyAlignment="1">
      <alignment horizontal="center"/>
    </xf>
    <xf numFmtId="0" fontId="20" fillId="3" borderId="0" xfId="1" applyFont="1" applyFill="1" applyAlignment="1">
      <alignment horizontal="center" vertical="center"/>
    </xf>
    <xf numFmtId="0" fontId="17" fillId="3" borderId="0" xfId="1" applyFont="1" applyFill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165" fontId="18" fillId="3" borderId="0" xfId="1" applyNumberFormat="1" applyFont="1" applyFill="1"/>
    <xf numFmtId="0" fontId="18" fillId="3" borderId="0" xfId="1" applyFont="1" applyFill="1" applyAlignment="1">
      <alignment horizontal="right"/>
    </xf>
    <xf numFmtId="0" fontId="17" fillId="3" borderId="0" xfId="2" applyFont="1" applyFill="1" applyAlignment="1">
      <alignment horizontal="left"/>
    </xf>
    <xf numFmtId="2" fontId="16" fillId="3" borderId="0" xfId="1" applyNumberFormat="1" applyFont="1" applyFill="1" applyAlignment="1">
      <alignment horizontal="left" vertical="center"/>
    </xf>
    <xf numFmtId="2" fontId="21" fillId="3" borderId="0" xfId="1" applyNumberFormat="1" applyFont="1" applyFill="1" applyAlignment="1">
      <alignment horizontal="left" vertical="center"/>
    </xf>
    <xf numFmtId="0" fontId="15" fillId="3" borderId="0" xfId="1" applyFont="1" applyFill="1"/>
    <xf numFmtId="0" fontId="22" fillId="3" borderId="0" xfId="3" applyFont="1" applyFill="1"/>
    <xf numFmtId="10" fontId="3" fillId="3" borderId="0" xfId="3" applyNumberFormat="1" applyFont="1" applyFill="1" applyAlignment="1">
      <alignment horizontal="center"/>
    </xf>
    <xf numFmtId="0" fontId="27" fillId="3" borderId="13" xfId="1" applyFont="1" applyFill="1" applyBorder="1" applyAlignment="1">
      <alignment horizontal="center" vertical="center" wrapText="1"/>
    </xf>
    <xf numFmtId="0" fontId="24" fillId="3" borderId="14" xfId="1" applyFont="1" applyFill="1" applyBorder="1" applyAlignment="1">
      <alignment horizontal="center" vertical="center" wrapText="1"/>
    </xf>
    <xf numFmtId="0" fontId="24" fillId="3" borderId="16" xfId="1" applyFont="1" applyFill="1" applyBorder="1" applyAlignment="1">
      <alignment horizontal="center" vertical="center" wrapText="1"/>
    </xf>
    <xf numFmtId="1" fontId="24" fillId="3" borderId="18" xfId="1" applyNumberFormat="1" applyFont="1" applyFill="1" applyBorder="1" applyAlignment="1">
      <alignment horizontal="center" vertical="center"/>
    </xf>
    <xf numFmtId="49" fontId="27" fillId="3" borderId="18" xfId="3" applyNumberFormat="1" applyFont="1" applyFill="1" applyBorder="1" applyAlignment="1">
      <alignment horizontal="center" vertical="center" wrapText="1"/>
    </xf>
    <xf numFmtId="0" fontId="27" fillId="3" borderId="18" xfId="3" applyFont="1" applyFill="1" applyBorder="1" applyAlignment="1">
      <alignment horizontal="center" vertical="center" wrapText="1"/>
    </xf>
    <xf numFmtId="0" fontId="27" fillId="4" borderId="54" xfId="1" applyFont="1" applyFill="1" applyBorder="1" applyAlignment="1">
      <alignment horizontal="center" vertical="top"/>
    </xf>
    <xf numFmtId="0" fontId="27" fillId="4" borderId="14" xfId="1" applyFont="1" applyFill="1" applyBorder="1" applyAlignment="1">
      <alignment vertical="top"/>
    </xf>
    <xf numFmtId="0" fontId="9" fillId="4" borderId="31" xfId="1" applyFont="1" applyFill="1" applyBorder="1" applyAlignment="1">
      <alignment horizontal="center" vertical="top"/>
    </xf>
    <xf numFmtId="0" fontId="9" fillId="4" borderId="0" xfId="1" applyFont="1" applyFill="1" applyAlignment="1">
      <alignment vertical="top"/>
    </xf>
    <xf numFmtId="0" fontId="59" fillId="4" borderId="10" xfId="3" applyFont="1" applyFill="1" applyBorder="1" applyAlignment="1">
      <alignment vertical="center"/>
    </xf>
    <xf numFmtId="2" fontId="9" fillId="4" borderId="22" xfId="1" applyNumberFormat="1" applyFont="1" applyFill="1" applyBorder="1" applyAlignment="1">
      <alignment horizontal="center" vertical="center" shrinkToFit="1"/>
    </xf>
    <xf numFmtId="2" fontId="9" fillId="4" borderId="0" xfId="1" applyNumberFormat="1" applyFont="1" applyFill="1" applyAlignment="1">
      <alignment vertical="top"/>
    </xf>
    <xf numFmtId="2" fontId="9" fillId="4" borderId="0" xfId="1" applyNumberFormat="1" applyFont="1" applyFill="1" applyAlignment="1">
      <alignment vertical="top" shrinkToFit="1"/>
    </xf>
    <xf numFmtId="2" fontId="8" fillId="4" borderId="0" xfId="1" applyNumberFormat="1" applyFont="1" applyFill="1" applyAlignment="1">
      <alignment vertical="top"/>
    </xf>
    <xf numFmtId="0" fontId="9" fillId="4" borderId="0" xfId="1" applyFont="1" applyFill="1" applyAlignment="1">
      <alignment horizontal="center" vertical="center" shrinkToFit="1"/>
    </xf>
    <xf numFmtId="2" fontId="9" fillId="4" borderId="0" xfId="1" applyNumberFormat="1" applyFont="1" applyFill="1" applyAlignment="1">
      <alignment horizontal="center" vertical="center"/>
    </xf>
    <xf numFmtId="2" fontId="9" fillId="4" borderId="0" xfId="1" applyNumberFormat="1" applyFont="1" applyFill="1" applyAlignment="1">
      <alignment horizontal="center" vertical="center" shrinkToFit="1"/>
    </xf>
    <xf numFmtId="167" fontId="9" fillId="4" borderId="8" xfId="1" applyNumberFormat="1" applyFont="1" applyFill="1" applyBorder="1" applyAlignment="1">
      <alignment vertical="center" shrinkToFit="1"/>
    </xf>
    <xf numFmtId="2" fontId="9" fillId="4" borderId="0" xfId="1" applyNumberFormat="1" applyFont="1" applyFill="1" applyAlignment="1">
      <alignment vertical="center" shrinkToFit="1"/>
    </xf>
    <xf numFmtId="0" fontId="45" fillId="4" borderId="23" xfId="1" applyFont="1" applyFill="1" applyBorder="1"/>
    <xf numFmtId="0" fontId="59" fillId="4" borderId="15" xfId="3" applyFont="1" applyFill="1" applyBorder="1" applyAlignment="1">
      <alignment vertical="center"/>
    </xf>
    <xf numFmtId="0" fontId="45" fillId="4" borderId="6" xfId="1" applyFont="1" applyFill="1" applyBorder="1"/>
    <xf numFmtId="0" fontId="35" fillId="4" borderId="15" xfId="17" applyFont="1" applyFill="1" applyBorder="1" applyAlignment="1">
      <alignment horizontal="left" vertical="center"/>
    </xf>
    <xf numFmtId="0" fontId="11" fillId="4" borderId="15" xfId="3" applyFont="1" applyFill="1" applyBorder="1" applyAlignment="1">
      <alignment horizontal="left" vertical="center"/>
    </xf>
    <xf numFmtId="0" fontId="9" fillId="4" borderId="15" xfId="3" applyFont="1" applyFill="1" applyBorder="1" applyAlignment="1">
      <alignment horizontal="center" vertical="center"/>
    </xf>
    <xf numFmtId="0" fontId="9" fillId="4" borderId="51" xfId="1" applyFont="1" applyFill="1" applyBorder="1" applyAlignment="1">
      <alignment horizontal="center" vertical="top"/>
    </xf>
    <xf numFmtId="0" fontId="9" fillId="4" borderId="3" xfId="1" applyFont="1" applyFill="1" applyBorder="1" applyAlignment="1">
      <alignment vertical="top"/>
    </xf>
    <xf numFmtId="0" fontId="63" fillId="4" borderId="15" xfId="17" applyFont="1" applyFill="1" applyBorder="1" applyAlignment="1">
      <alignment horizontal="left" vertical="center"/>
    </xf>
    <xf numFmtId="0" fontId="11" fillId="4" borderId="16" xfId="3" applyFont="1" applyFill="1" applyBorder="1" applyAlignment="1">
      <alignment horizontal="right" vertical="center"/>
    </xf>
    <xf numFmtId="2" fontId="11" fillId="4" borderId="16" xfId="1" applyNumberFormat="1" applyFont="1" applyFill="1" applyBorder="1" applyAlignment="1">
      <alignment horizontal="right" vertical="center" shrinkToFit="1"/>
    </xf>
    <xf numFmtId="2" fontId="11" fillId="4" borderId="14" xfId="1" applyNumberFormat="1" applyFont="1" applyFill="1" applyBorder="1" applyAlignment="1">
      <alignment horizontal="right" vertical="center"/>
    </xf>
    <xf numFmtId="2" fontId="11" fillId="4" borderId="14" xfId="1" applyNumberFormat="1" applyFont="1" applyFill="1" applyBorder="1" applyAlignment="1">
      <alignment horizontal="right" vertical="center" shrinkToFit="1"/>
    </xf>
    <xf numFmtId="2" fontId="24" fillId="4" borderId="14" xfId="1" applyNumberFormat="1" applyFont="1" applyFill="1" applyBorder="1" applyAlignment="1">
      <alignment vertical="center"/>
    </xf>
    <xf numFmtId="0" fontId="27" fillId="4" borderId="14" xfId="1" applyFont="1" applyFill="1" applyBorder="1" applyAlignment="1">
      <alignment horizontal="right" vertical="center" shrinkToFit="1"/>
    </xf>
    <xf numFmtId="2" fontId="27" fillId="4" borderId="14" xfId="1" applyNumberFormat="1" applyFont="1" applyFill="1" applyBorder="1" applyAlignment="1">
      <alignment horizontal="right" vertical="center"/>
    </xf>
    <xf numFmtId="2" fontId="27" fillId="4" borderId="14" xfId="1" applyNumberFormat="1" applyFont="1" applyFill="1" applyBorder="1" applyAlignment="1">
      <alignment horizontal="right" vertical="center" shrinkToFit="1"/>
    </xf>
    <xf numFmtId="167" fontId="27" fillId="4" borderId="14" xfId="1" applyNumberFormat="1" applyFont="1" applyFill="1" applyBorder="1" applyAlignment="1">
      <alignment horizontal="right" vertical="center" shrinkToFit="1"/>
    </xf>
    <xf numFmtId="0" fontId="45" fillId="4" borderId="17" xfId="1" applyFont="1" applyFill="1" applyBorder="1"/>
    <xf numFmtId="164" fontId="3" fillId="3" borderId="0" xfId="1" applyNumberFormat="1" applyFont="1" applyFill="1" applyAlignment="1">
      <alignment horizontal="center" vertical="center"/>
    </xf>
    <xf numFmtId="164" fontId="3" fillId="3" borderId="0" xfId="3" applyNumberFormat="1" applyFont="1" applyFill="1" applyAlignment="1">
      <alignment horizontal="center" vertical="center"/>
    </xf>
    <xf numFmtId="167" fontId="44" fillId="4" borderId="15" xfId="1" applyNumberFormat="1" applyFont="1" applyFill="1" applyBorder="1" applyAlignment="1">
      <alignment horizontal="center" vertical="center"/>
    </xf>
    <xf numFmtId="2" fontId="3" fillId="4" borderId="18" xfId="3" applyNumberFormat="1" applyFont="1" applyFill="1" applyBorder="1" applyAlignment="1">
      <alignment horizontal="center" vertical="center"/>
    </xf>
    <xf numFmtId="2" fontId="3" fillId="4" borderId="24" xfId="3" applyNumberFormat="1" applyFont="1" applyFill="1" applyBorder="1" applyAlignment="1">
      <alignment horizontal="center" vertical="center"/>
    </xf>
    <xf numFmtId="167" fontId="28" fillId="4" borderId="17" xfId="3" applyNumberFormat="1" applyFont="1" applyFill="1" applyBorder="1" applyAlignment="1">
      <alignment horizontal="center" vertical="center"/>
    </xf>
    <xf numFmtId="0" fontId="56" fillId="0" borderId="0" xfId="1" applyFont="1" applyAlignment="1">
      <alignment horizontal="center" vertical="center"/>
    </xf>
    <xf numFmtId="0" fontId="9" fillId="4" borderId="15" xfId="11" applyFont="1" applyFill="1" applyBorder="1" applyAlignment="1">
      <alignment horizontal="center" vertical="top"/>
    </xf>
    <xf numFmtId="0" fontId="43" fillId="4" borderId="15" xfId="11" applyFont="1" applyFill="1" applyBorder="1" applyAlignment="1">
      <alignment vertical="top"/>
    </xf>
    <xf numFmtId="0" fontId="62" fillId="4" borderId="15" xfId="11" applyFont="1" applyFill="1" applyBorder="1" applyAlignment="1">
      <alignment vertical="center"/>
    </xf>
    <xf numFmtId="0" fontId="11" fillId="4" borderId="15" xfId="11" applyFont="1" applyFill="1" applyBorder="1" applyAlignment="1">
      <alignment vertical="top"/>
    </xf>
    <xf numFmtId="164" fontId="43" fillId="4" borderId="15" xfId="11" applyNumberFormat="1" applyFont="1" applyFill="1" applyBorder="1" applyAlignment="1">
      <alignment horizontal="center" vertical="top"/>
    </xf>
    <xf numFmtId="2" fontId="9" fillId="4" borderId="15" xfId="3" applyNumberFormat="1" applyFont="1" applyFill="1" applyBorder="1" applyAlignment="1">
      <alignment horizontal="center" vertical="center"/>
    </xf>
    <xf numFmtId="0" fontId="8" fillId="4" borderId="15" xfId="1" applyFont="1" applyFill="1" applyBorder="1" applyAlignment="1">
      <alignment horizontal="center" vertical="center"/>
    </xf>
    <xf numFmtId="0" fontId="11" fillId="4" borderId="15" xfId="1" applyFont="1" applyFill="1" applyBorder="1" applyAlignment="1">
      <alignment horizontal="center" vertical="center"/>
    </xf>
    <xf numFmtId="0" fontId="11" fillId="4" borderId="15" xfId="1" applyFont="1" applyFill="1" applyBorder="1" applyAlignment="1">
      <alignment horizontal="center" vertical="center" wrapText="1"/>
    </xf>
    <xf numFmtId="0" fontId="11" fillId="4" borderId="15" xfId="1" applyFont="1" applyFill="1" applyBorder="1" applyAlignment="1">
      <alignment vertical="center" wrapText="1"/>
    </xf>
    <xf numFmtId="0" fontId="42" fillId="4" borderId="15" xfId="1" applyFont="1" applyFill="1" applyBorder="1" applyAlignment="1">
      <alignment horizontal="center" vertical="center" wrapText="1"/>
    </xf>
    <xf numFmtId="0" fontId="48" fillId="2" borderId="0" xfId="1" applyFont="1" applyFill="1" applyBorder="1" applyAlignment="1">
      <alignment vertical="center" wrapText="1"/>
    </xf>
    <xf numFmtId="0" fontId="4" fillId="3" borderId="15" xfId="1" applyFont="1" applyFill="1" applyBorder="1" applyAlignment="1">
      <alignment horizontal="right"/>
    </xf>
    <xf numFmtId="0" fontId="5" fillId="3" borderId="15" xfId="1" applyFont="1" applyFill="1" applyBorder="1"/>
    <xf numFmtId="0" fontId="6" fillId="3" borderId="15" xfId="1" applyFont="1" applyFill="1" applyBorder="1" applyAlignment="1">
      <alignment horizontal="center" vertical="center"/>
    </xf>
    <xf numFmtId="0" fontId="7" fillId="3" borderId="15" xfId="1" applyFont="1" applyFill="1" applyBorder="1" applyAlignment="1">
      <alignment vertical="center"/>
    </xf>
    <xf numFmtId="0" fontId="6" fillId="3" borderId="15" xfId="1" applyFont="1" applyFill="1" applyBorder="1"/>
    <xf numFmtId="0" fontId="3" fillId="3" borderId="15" xfId="1" applyFont="1" applyFill="1" applyBorder="1"/>
    <xf numFmtId="0" fontId="3" fillId="3" borderId="15" xfId="1" applyFont="1" applyFill="1" applyBorder="1" applyAlignment="1">
      <alignment horizontal="center"/>
    </xf>
    <xf numFmtId="0" fontId="3" fillId="3" borderId="15" xfId="1" applyFont="1" applyFill="1" applyBorder="1" applyAlignment="1">
      <alignment horizontal="right"/>
    </xf>
    <xf numFmtId="49" fontId="8" fillId="3" borderId="15" xfId="1" applyNumberFormat="1" applyFont="1" applyFill="1" applyBorder="1" applyAlignment="1">
      <alignment horizontal="center"/>
    </xf>
    <xf numFmtId="2" fontId="9" fillId="3" borderId="15" xfId="1" applyNumberFormat="1" applyFont="1" applyFill="1" applyBorder="1" applyAlignment="1">
      <alignment horizontal="left"/>
    </xf>
    <xf numFmtId="164" fontId="3" fillId="3" borderId="15" xfId="1" applyNumberFormat="1" applyFont="1" applyFill="1" applyBorder="1"/>
    <xf numFmtId="0" fontId="9" fillId="3" borderId="15" xfId="1" applyFont="1" applyFill="1" applyBorder="1"/>
    <xf numFmtId="0" fontId="9" fillId="3" borderId="15" xfId="1" applyFont="1" applyFill="1" applyBorder="1" applyAlignment="1">
      <alignment horizontal="left" vertical="center"/>
    </xf>
    <xf numFmtId="0" fontId="3" fillId="3" borderId="15" xfId="1" applyFont="1" applyFill="1" applyBorder="1" applyAlignment="1">
      <alignment horizontal="center" vertical="center"/>
    </xf>
    <xf numFmtId="0" fontId="8" fillId="3" borderId="15" xfId="1" applyFont="1" applyFill="1" applyBorder="1" applyAlignment="1">
      <alignment vertical="center"/>
    </xf>
    <xf numFmtId="2" fontId="9" fillId="3" borderId="15" xfId="1" applyNumberFormat="1" applyFont="1" applyFill="1" applyBorder="1"/>
    <xf numFmtId="0" fontId="64" fillId="3" borderId="0" xfId="1" applyFont="1" applyFill="1" applyAlignment="1">
      <alignment horizontal="center" vertical="center"/>
    </xf>
    <xf numFmtId="0" fontId="9" fillId="2" borderId="7" xfId="4" applyFont="1" applyFill="1" applyBorder="1" applyAlignment="1">
      <alignment horizontal="center" vertical="center" shrinkToFit="1"/>
    </xf>
    <xf numFmtId="0" fontId="9" fillId="2" borderId="10" xfId="4" applyFont="1" applyFill="1" applyBorder="1" applyAlignment="1">
      <alignment horizontal="center" vertical="center" shrinkToFit="1"/>
    </xf>
    <xf numFmtId="0" fontId="5" fillId="3" borderId="16" xfId="1" applyFont="1" applyFill="1" applyBorder="1" applyAlignment="1">
      <alignment horizontal="center" vertical="center"/>
    </xf>
    <xf numFmtId="0" fontId="5" fillId="3" borderId="14" xfId="1" applyFont="1" applyFill="1" applyBorder="1" applyAlignment="1">
      <alignment horizontal="center" vertical="center"/>
    </xf>
    <xf numFmtId="0" fontId="5" fillId="3" borderId="17" xfId="1" applyFont="1" applyFill="1" applyBorder="1" applyAlignment="1">
      <alignment horizontal="center" vertical="center"/>
    </xf>
    <xf numFmtId="0" fontId="28" fillId="3" borderId="15" xfId="1" applyFont="1" applyFill="1" applyBorder="1" applyAlignment="1">
      <alignment horizontal="left" vertical="top"/>
    </xf>
    <xf numFmtId="2" fontId="46" fillId="2" borderId="0" xfId="1" applyNumberFormat="1" applyFont="1" applyFill="1" applyAlignment="1">
      <alignment horizontal="center"/>
    </xf>
    <xf numFmtId="2" fontId="13" fillId="2" borderId="15" xfId="1" applyNumberFormat="1" applyFont="1" applyFill="1" applyBorder="1" applyAlignment="1">
      <alignment horizontal="center" vertical="center" shrinkToFit="1"/>
    </xf>
    <xf numFmtId="0" fontId="4" fillId="2" borderId="15" xfId="1" applyFont="1" applyFill="1" applyBorder="1" applyAlignment="1">
      <alignment horizontal="left"/>
    </xf>
    <xf numFmtId="0" fontId="12" fillId="2" borderId="15" xfId="1" applyFont="1" applyFill="1" applyBorder="1" applyAlignment="1">
      <alignment horizontal="center" vertical="center"/>
    </xf>
    <xf numFmtId="0" fontId="11" fillId="2" borderId="15" xfId="1" applyFont="1" applyFill="1" applyBorder="1" applyAlignment="1">
      <alignment horizontal="center"/>
    </xf>
    <xf numFmtId="0" fontId="9" fillId="2" borderId="7" xfId="4" applyFont="1" applyFill="1" applyBorder="1" applyAlignment="1">
      <alignment horizontal="center" vertical="center"/>
    </xf>
    <xf numFmtId="0" fontId="9" fillId="2" borderId="10" xfId="4" applyFont="1" applyFill="1" applyBorder="1" applyAlignment="1">
      <alignment horizontal="center" vertical="center"/>
    </xf>
    <xf numFmtId="49" fontId="9" fillId="2" borderId="7" xfId="4" applyNumberFormat="1" applyFont="1" applyFill="1" applyBorder="1" applyAlignment="1">
      <alignment vertical="center" wrapText="1"/>
    </xf>
    <xf numFmtId="49" fontId="9" fillId="2" borderId="10" xfId="4" applyNumberFormat="1" applyFont="1" applyFill="1" applyBorder="1" applyAlignment="1">
      <alignment vertical="center" wrapText="1"/>
    </xf>
    <xf numFmtId="49" fontId="9" fillId="2" borderId="7" xfId="4" applyNumberFormat="1" applyFont="1" applyFill="1" applyBorder="1" applyAlignment="1">
      <alignment horizontal="center" vertical="center" wrapText="1"/>
    </xf>
    <xf numFmtId="49" fontId="9" fillId="2" borderId="10" xfId="4" applyNumberFormat="1" applyFont="1" applyFill="1" applyBorder="1" applyAlignment="1">
      <alignment horizontal="center" vertical="center" wrapText="1"/>
    </xf>
    <xf numFmtId="2" fontId="9" fillId="2" borderId="15" xfId="0" applyNumberFormat="1" applyFont="1" applyFill="1" applyBorder="1" applyAlignment="1">
      <alignment horizontal="center" vertical="center" shrinkToFit="1"/>
    </xf>
    <xf numFmtId="2" fontId="41" fillId="2" borderId="15" xfId="0" applyNumberFormat="1" applyFont="1" applyFill="1" applyBorder="1" applyAlignment="1">
      <alignment horizontal="center" vertical="center" shrinkToFit="1"/>
    </xf>
    <xf numFmtId="0" fontId="9" fillId="2" borderId="15" xfId="0" applyFont="1" applyFill="1" applyBorder="1" applyAlignment="1">
      <alignment horizontal="center" vertical="center" shrinkToFi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left" vertical="center" wrapText="1"/>
    </xf>
    <xf numFmtId="0" fontId="9" fillId="2" borderId="15" xfId="0" applyFont="1" applyFill="1" applyBorder="1" applyAlignment="1">
      <alignment horizontal="center" vertical="center"/>
    </xf>
    <xf numFmtId="1" fontId="9" fillId="2" borderId="15" xfId="0" applyNumberFormat="1" applyFont="1" applyFill="1" applyBorder="1" applyAlignment="1">
      <alignment horizontal="center" vertical="center" shrinkToFit="1"/>
    </xf>
    <xf numFmtId="166" fontId="9" fillId="2" borderId="15" xfId="0" applyNumberFormat="1" applyFont="1" applyFill="1" applyBorder="1" applyAlignment="1">
      <alignment horizontal="center" vertical="center"/>
    </xf>
    <xf numFmtId="166" fontId="9" fillId="2" borderId="15" xfId="0" applyNumberFormat="1" applyFont="1" applyFill="1" applyBorder="1" applyAlignment="1">
      <alignment horizontal="center" vertical="center" shrinkToFit="1"/>
    </xf>
    <xf numFmtId="2" fontId="9" fillId="2" borderId="15" xfId="0" applyNumberFormat="1" applyFont="1" applyFill="1" applyBorder="1" applyAlignment="1">
      <alignment horizontal="center" vertical="center"/>
    </xf>
    <xf numFmtId="166" fontId="9" fillId="2" borderId="15" xfId="4" applyNumberFormat="1" applyFont="1" applyFill="1" applyBorder="1" applyAlignment="1">
      <alignment vertical="center" shrinkToFit="1"/>
    </xf>
    <xf numFmtId="2" fontId="9" fillId="2" borderId="15" xfId="4" applyNumberFormat="1" applyFont="1" applyFill="1" applyBorder="1" applyAlignment="1">
      <alignment horizontal="center" vertical="center" shrinkToFit="1"/>
    </xf>
    <xf numFmtId="166" fontId="9" fillId="2" borderId="15" xfId="4" applyNumberFormat="1" applyFont="1" applyFill="1" applyBorder="1" applyAlignment="1">
      <alignment horizontal="center" vertical="center" shrinkToFit="1"/>
    </xf>
    <xf numFmtId="166" fontId="31" fillId="2" borderId="15" xfId="4" applyNumberFormat="1" applyFont="1" applyFill="1" applyBorder="1" applyAlignment="1">
      <alignment horizontal="center" vertical="center" shrinkToFit="1"/>
    </xf>
    <xf numFmtId="0" fontId="9" fillId="2" borderId="15" xfId="4" applyFont="1" applyFill="1" applyBorder="1" applyAlignment="1">
      <alignment horizontal="center" vertical="center" shrinkToFit="1"/>
    </xf>
    <xf numFmtId="49" fontId="9" fillId="2" borderId="15" xfId="4" applyNumberFormat="1" applyFont="1" applyFill="1" applyBorder="1" applyAlignment="1">
      <alignment horizontal="center" vertical="center" wrapText="1"/>
    </xf>
    <xf numFmtId="49" fontId="9" fillId="2" borderId="15" xfId="4" applyNumberFormat="1" applyFont="1" applyFill="1" applyBorder="1" applyAlignment="1">
      <alignment vertical="center" wrapText="1"/>
    </xf>
    <xf numFmtId="0" fontId="9" fillId="2" borderId="15" xfId="4" applyFont="1" applyFill="1" applyBorder="1" applyAlignment="1">
      <alignment horizontal="center" vertical="center"/>
    </xf>
    <xf numFmtId="167" fontId="9" fillId="2" borderId="15" xfId="4" applyNumberFormat="1" applyFont="1" applyFill="1" applyBorder="1" applyAlignment="1">
      <alignment horizontal="center" vertical="center"/>
    </xf>
    <xf numFmtId="2" fontId="31" fillId="2" borderId="15" xfId="1" applyNumberFormat="1" applyFont="1" applyFill="1" applyBorder="1" applyAlignment="1">
      <alignment horizontal="center" vertical="center" shrinkToFit="1"/>
    </xf>
    <xf numFmtId="2" fontId="9" fillId="2" borderId="15" xfId="1" applyNumberFormat="1" applyFont="1" applyFill="1" applyBorder="1" applyAlignment="1">
      <alignment horizontal="center" vertical="center" shrinkToFit="1"/>
    </xf>
    <xf numFmtId="0" fontId="9" fillId="2" borderId="15" xfId="1" applyFont="1" applyFill="1" applyBorder="1" applyAlignment="1">
      <alignment horizontal="center" vertical="center" shrinkToFit="1"/>
    </xf>
    <xf numFmtId="49" fontId="9" fillId="2" borderId="15" xfId="1" applyNumberFormat="1" applyFont="1" applyFill="1" applyBorder="1" applyAlignment="1">
      <alignment horizontal="center" vertical="center" wrapText="1"/>
    </xf>
    <xf numFmtId="49" fontId="9" fillId="2" borderId="15" xfId="1" applyNumberFormat="1" applyFont="1" applyFill="1" applyBorder="1" applyAlignment="1">
      <alignment vertical="center" wrapText="1"/>
    </xf>
    <xf numFmtId="0" fontId="9" fillId="2" borderId="15" xfId="1" applyFont="1" applyFill="1" applyBorder="1" applyAlignment="1">
      <alignment horizontal="center" vertical="center"/>
    </xf>
    <xf numFmtId="166" fontId="9" fillId="2" borderId="15" xfId="1" applyNumberFormat="1" applyFont="1" applyFill="1" applyBorder="1" applyAlignment="1">
      <alignment horizontal="center" vertical="center" shrinkToFit="1"/>
    </xf>
    <xf numFmtId="167" fontId="9" fillId="2" borderId="15" xfId="0" applyNumberFormat="1" applyFont="1" applyFill="1" applyBorder="1" applyAlignment="1">
      <alignment horizontal="center" vertical="center" shrinkToFit="1"/>
    </xf>
    <xf numFmtId="165" fontId="9" fillId="2" borderId="15" xfId="0" applyNumberFormat="1" applyFont="1" applyFill="1" applyBorder="1" applyAlignment="1">
      <alignment horizontal="center" vertical="center"/>
    </xf>
    <xf numFmtId="2" fontId="9" fillId="2" borderId="15" xfId="5" applyNumberFormat="1" applyFont="1" applyFill="1" applyBorder="1" applyAlignment="1">
      <alignment horizontal="center" vertical="center" shrinkToFit="1"/>
    </xf>
    <xf numFmtId="166" fontId="9" fillId="2" borderId="15" xfId="5" applyNumberFormat="1" applyFont="1" applyFill="1" applyBorder="1" applyAlignment="1">
      <alignment horizontal="center" vertical="center" shrinkToFit="1"/>
    </xf>
    <xf numFmtId="2" fontId="31" fillId="2" borderId="15" xfId="5" applyNumberFormat="1" applyFont="1" applyFill="1" applyBorder="1" applyAlignment="1">
      <alignment horizontal="center" vertical="center" shrinkToFit="1"/>
    </xf>
    <xf numFmtId="0" fontId="9" fillId="2" borderId="15" xfId="5" applyFont="1" applyFill="1" applyBorder="1" applyAlignment="1">
      <alignment horizontal="center" vertical="center" shrinkToFit="1"/>
    </xf>
    <xf numFmtId="49" fontId="9" fillId="2" borderId="15" xfId="5" applyNumberFormat="1" applyFont="1" applyFill="1" applyBorder="1" applyAlignment="1">
      <alignment horizontal="center" vertical="center" wrapText="1"/>
    </xf>
    <xf numFmtId="49" fontId="9" fillId="2" borderId="15" xfId="5" applyNumberFormat="1" applyFont="1" applyFill="1" applyBorder="1" applyAlignment="1">
      <alignment vertical="center" wrapText="1"/>
    </xf>
    <xf numFmtId="0" fontId="9" fillId="2" borderId="15" xfId="5" applyFont="1" applyFill="1" applyBorder="1" applyAlignment="1">
      <alignment horizontal="center" vertical="center"/>
    </xf>
    <xf numFmtId="166" fontId="31" fillId="2" borderId="15" xfId="5" applyNumberFormat="1" applyFont="1" applyFill="1" applyBorder="1" applyAlignment="1">
      <alignment horizontal="center" vertical="center" shrinkToFit="1"/>
    </xf>
    <xf numFmtId="0" fontId="28" fillId="3" borderId="15" xfId="1" applyFont="1" applyFill="1" applyBorder="1" applyAlignment="1">
      <alignment horizontal="left" vertical="center" wrapText="1"/>
    </xf>
    <xf numFmtId="2" fontId="40" fillId="2" borderId="15" xfId="0" applyNumberFormat="1" applyFont="1" applyFill="1" applyBorder="1" applyAlignment="1">
      <alignment horizontal="center" vertical="top" shrinkToFit="1"/>
    </xf>
    <xf numFmtId="2" fontId="15" fillId="2" borderId="15" xfId="0" applyNumberFormat="1" applyFont="1" applyFill="1" applyBorder="1" applyAlignment="1">
      <alignment horizontal="center" vertical="center" shrinkToFit="1"/>
    </xf>
    <xf numFmtId="2" fontId="40" fillId="2" borderId="15" xfId="0" applyNumberFormat="1" applyFont="1" applyFill="1" applyBorder="1" applyAlignment="1">
      <alignment horizontal="center" vertical="center" shrinkToFit="1"/>
    </xf>
    <xf numFmtId="49" fontId="15" fillId="2" borderId="15" xfId="0" applyNumberFormat="1" applyFont="1" applyFill="1" applyBorder="1" applyAlignment="1">
      <alignment horizontal="center" vertical="center" wrapText="1"/>
    </xf>
    <xf numFmtId="49" fontId="15" fillId="2" borderId="15" xfId="0" applyNumberFormat="1" applyFont="1" applyFill="1" applyBorder="1" applyAlignment="1">
      <alignment horizontal="left" vertical="center" wrapText="1"/>
    </xf>
    <xf numFmtId="0" fontId="15" fillId="2" borderId="15" xfId="0" applyFont="1" applyFill="1" applyBorder="1" applyAlignment="1">
      <alignment horizontal="center" vertical="center"/>
    </xf>
    <xf numFmtId="167" fontId="15" fillId="2" borderId="15" xfId="9" applyNumberFormat="1" applyFont="1" applyFill="1" applyBorder="1" applyAlignment="1">
      <alignment horizontal="center" vertical="center" shrinkToFit="1"/>
    </xf>
    <xf numFmtId="2" fontId="9" fillId="2" borderId="15" xfId="0" applyNumberFormat="1" applyFont="1" applyFill="1" applyBorder="1" applyAlignment="1">
      <alignment horizontal="center" vertical="center" wrapText="1" shrinkToFit="1"/>
    </xf>
    <xf numFmtId="0" fontId="9" fillId="2" borderId="15" xfId="7" applyFont="1" applyFill="1" applyBorder="1" applyAlignment="1">
      <alignment horizontal="left" vertical="center" wrapText="1"/>
    </xf>
    <xf numFmtId="0" fontId="8" fillId="2" borderId="15" xfId="7" applyFont="1" applyFill="1" applyBorder="1" applyAlignment="1">
      <alignment horizontal="center" vertical="center"/>
    </xf>
    <xf numFmtId="167" fontId="9" fillId="2" borderId="15" xfId="5" applyNumberFormat="1" applyFont="1" applyFill="1" applyBorder="1" applyAlignment="1">
      <alignment horizontal="center" vertical="center" shrinkToFit="1"/>
    </xf>
    <xf numFmtId="2" fontId="31" fillId="2" borderId="15" xfId="4" applyNumberFormat="1" applyFont="1" applyFill="1" applyBorder="1" applyAlignment="1">
      <alignment horizontal="center" vertical="center" shrinkToFit="1"/>
    </xf>
    <xf numFmtId="166" fontId="31" fillId="2" borderId="15" xfId="4" applyNumberFormat="1" applyFont="1" applyFill="1" applyBorder="1" applyAlignment="1">
      <alignment vertical="center" shrinkToFit="1"/>
    </xf>
    <xf numFmtId="168" fontId="9" fillId="2" borderId="15" xfId="0" applyNumberFormat="1" applyFont="1" applyFill="1" applyBorder="1" applyAlignment="1">
      <alignment horizontal="center" vertical="center" shrinkToFit="1"/>
    </xf>
    <xf numFmtId="165" fontId="9" fillId="2" borderId="15" xfId="0" applyNumberFormat="1" applyFont="1" applyFill="1" applyBorder="1" applyAlignment="1">
      <alignment horizontal="center" vertical="center" shrinkToFit="1"/>
    </xf>
    <xf numFmtId="2" fontId="9" fillId="2" borderId="15" xfId="0" applyNumberFormat="1" applyFont="1" applyFill="1" applyBorder="1" applyAlignment="1">
      <alignment horizontal="center" vertical="top" shrinkToFit="1"/>
    </xf>
    <xf numFmtId="2" fontId="15" fillId="2" borderId="15" xfId="5" applyNumberFormat="1" applyFont="1" applyFill="1" applyBorder="1" applyAlignment="1">
      <alignment horizontal="center" vertical="center" wrapText="1" shrinkToFit="1"/>
    </xf>
    <xf numFmtId="2" fontId="15" fillId="2" borderId="15" xfId="5" applyNumberFormat="1" applyFont="1" applyFill="1" applyBorder="1" applyAlignment="1">
      <alignment horizontal="center" vertical="center" shrinkToFit="1"/>
    </xf>
    <xf numFmtId="0" fontId="36" fillId="2" borderId="15" xfId="0" applyFont="1" applyFill="1" applyBorder="1" applyAlignment="1">
      <alignment horizontal="center" vertical="center"/>
    </xf>
    <xf numFmtId="0" fontId="25" fillId="2" borderId="15" xfId="0" applyFont="1" applyFill="1" applyBorder="1" applyAlignment="1">
      <alignment horizontal="center" vertical="center"/>
    </xf>
    <xf numFmtId="1" fontId="15" fillId="2" borderId="15" xfId="0" applyNumberFormat="1" applyFont="1" applyFill="1" applyBorder="1" applyAlignment="1">
      <alignment horizontal="center" vertical="center" shrinkToFit="1"/>
    </xf>
    <xf numFmtId="0" fontId="9" fillId="2" borderId="15" xfId="4" applyFont="1" applyFill="1" applyBorder="1" applyAlignment="1">
      <alignment horizontal="center" vertical="top"/>
    </xf>
    <xf numFmtId="167" fontId="9" fillId="2" borderId="15" xfId="5" applyNumberFormat="1" applyFont="1" applyFill="1" applyBorder="1" applyAlignment="1">
      <alignment horizontal="center" vertical="center"/>
    </xf>
    <xf numFmtId="167" fontId="9" fillId="2" borderId="15" xfId="4" applyNumberFormat="1" applyFont="1" applyFill="1" applyBorder="1" applyAlignment="1">
      <alignment horizontal="center" vertical="center" shrinkToFit="1"/>
    </xf>
    <xf numFmtId="166" fontId="9" fillId="2" borderId="15" xfId="4" applyNumberFormat="1" applyFont="1" applyFill="1" applyBorder="1" applyAlignment="1">
      <alignment horizontal="center" vertical="center"/>
    </xf>
    <xf numFmtId="2" fontId="9" fillId="2" borderId="7" xfId="4" applyNumberFormat="1" applyFont="1" applyFill="1" applyBorder="1" applyAlignment="1">
      <alignment horizontal="center" vertical="center" shrinkToFit="1"/>
    </xf>
    <xf numFmtId="2" fontId="9" fillId="2" borderId="10" xfId="4" applyNumberFormat="1" applyFont="1" applyFill="1" applyBorder="1" applyAlignment="1">
      <alignment horizontal="center" vertical="center" shrinkToFit="1"/>
    </xf>
    <xf numFmtId="2" fontId="31" fillId="2" borderId="7" xfId="4" applyNumberFormat="1" applyFont="1" applyFill="1" applyBorder="1" applyAlignment="1">
      <alignment horizontal="center" vertical="center" shrinkToFit="1"/>
    </xf>
    <xf numFmtId="2" fontId="31" fillId="2" borderId="10" xfId="4" applyNumberFormat="1" applyFont="1" applyFill="1" applyBorder="1" applyAlignment="1">
      <alignment horizontal="center" vertical="center" shrinkToFit="1"/>
    </xf>
    <xf numFmtId="166" fontId="9" fillId="2" borderId="16" xfId="4" applyNumberFormat="1" applyFont="1" applyFill="1" applyBorder="1" applyAlignment="1">
      <alignment horizontal="center" vertical="center" shrinkToFit="1"/>
    </xf>
    <xf numFmtId="166" fontId="9" fillId="2" borderId="14" xfId="4" applyNumberFormat="1" applyFont="1" applyFill="1" applyBorder="1" applyAlignment="1">
      <alignment horizontal="center" vertical="center" shrinkToFit="1"/>
    </xf>
    <xf numFmtId="166" fontId="9" fillId="2" borderId="17" xfId="4" applyNumberFormat="1" applyFont="1" applyFill="1" applyBorder="1" applyAlignment="1">
      <alignment horizontal="center" vertical="center" shrinkToFit="1"/>
    </xf>
    <xf numFmtId="0" fontId="24" fillId="3" borderId="15" xfId="1" applyFont="1" applyFill="1" applyBorder="1" applyAlignment="1">
      <alignment horizontal="center" vertical="center" wrapText="1"/>
    </xf>
    <xf numFmtId="0" fontId="28" fillId="3" borderId="15" xfId="1" applyFont="1" applyFill="1" applyBorder="1" applyAlignment="1">
      <alignment horizontal="center"/>
    </xf>
    <xf numFmtId="0" fontId="8" fillId="3" borderId="15" xfId="1" applyFont="1" applyFill="1" applyBorder="1" applyAlignment="1">
      <alignment horizontal="center" vertical="center" textRotation="90" wrapText="1"/>
    </xf>
    <xf numFmtId="10" fontId="8" fillId="2" borderId="15" xfId="1" applyNumberFormat="1" applyFont="1" applyFill="1" applyBorder="1" applyAlignment="1">
      <alignment horizontal="center" vertical="center" textRotation="90" wrapText="1"/>
    </xf>
    <xf numFmtId="0" fontId="8" fillId="3" borderId="15" xfId="1" applyFont="1" applyFill="1" applyBorder="1" applyAlignment="1">
      <alignment horizontal="center" vertical="center" textRotation="90"/>
    </xf>
    <xf numFmtId="0" fontId="8" fillId="3" borderId="15" xfId="1" applyFont="1" applyFill="1" applyBorder="1" applyAlignment="1">
      <alignment horizontal="right" vertical="center" textRotation="90" wrapText="1"/>
    </xf>
    <xf numFmtId="0" fontId="25" fillId="3" borderId="15" xfId="1" applyFont="1" applyFill="1" applyBorder="1" applyAlignment="1">
      <alignment horizontal="center" vertical="center" textRotation="90" wrapText="1"/>
    </xf>
    <xf numFmtId="2" fontId="25" fillId="3" borderId="15" xfId="1" applyNumberFormat="1" applyFont="1" applyFill="1" applyBorder="1" applyAlignment="1">
      <alignment horizontal="center" vertical="center" textRotation="90" wrapText="1"/>
    </xf>
    <xf numFmtId="2" fontId="25" fillId="3" borderId="15" xfId="1" applyNumberFormat="1" applyFont="1" applyFill="1" applyBorder="1" applyAlignment="1">
      <alignment horizontal="center" textRotation="90" wrapText="1"/>
    </xf>
    <xf numFmtId="0" fontId="3" fillId="2" borderId="15" xfId="1" applyFont="1" applyFill="1" applyBorder="1" applyAlignment="1">
      <alignment horizontal="center" vertical="center"/>
    </xf>
    <xf numFmtId="0" fontId="15" fillId="3" borderId="15" xfId="1" applyFont="1" applyFill="1" applyBorder="1" applyAlignment="1">
      <alignment horizontal="center" vertical="center" wrapText="1"/>
    </xf>
    <xf numFmtId="0" fontId="15" fillId="3" borderId="15" xfId="1" applyFont="1" applyFill="1" applyBorder="1" applyAlignment="1">
      <alignment horizontal="center" vertical="center" textRotation="90" wrapText="1"/>
    </xf>
    <xf numFmtId="0" fontId="26" fillId="3" borderId="15" xfId="0" applyFont="1" applyFill="1" applyBorder="1" applyAlignment="1">
      <alignment horizontal="center" vertical="center"/>
    </xf>
    <xf numFmtId="0" fontId="23" fillId="3" borderId="15" xfId="1" applyFont="1" applyFill="1" applyBorder="1" applyAlignment="1">
      <alignment horizontal="center"/>
    </xf>
    <xf numFmtId="14" fontId="4" fillId="2" borderId="15" xfId="1" applyNumberFormat="1" applyFont="1" applyFill="1" applyBorder="1" applyAlignment="1">
      <alignment horizontal="left"/>
    </xf>
    <xf numFmtId="0" fontId="16" fillId="2" borderId="15" xfId="1" applyFont="1" applyFill="1" applyBorder="1" applyAlignment="1">
      <alignment horizontal="center" shrinkToFit="1"/>
    </xf>
    <xf numFmtId="165" fontId="16" fillId="2" borderId="15" xfId="1" applyNumberFormat="1" applyFont="1" applyFill="1" applyBorder="1" applyAlignment="1">
      <alignment horizontal="left"/>
    </xf>
    <xf numFmtId="0" fontId="16" fillId="2" borderId="15" xfId="1" applyFont="1" applyFill="1" applyBorder="1" applyAlignment="1">
      <alignment horizontal="center" wrapText="1"/>
    </xf>
    <xf numFmtId="0" fontId="14" fillId="2" borderId="15" xfId="1" applyFont="1" applyFill="1" applyBorder="1" applyAlignment="1">
      <alignment horizontal="center" vertical="center"/>
    </xf>
    <xf numFmtId="2" fontId="16" fillId="2" borderId="15" xfId="1" applyNumberFormat="1" applyFont="1" applyFill="1" applyBorder="1" applyAlignment="1">
      <alignment horizontal="left" vertical="center" shrinkToFit="1"/>
    </xf>
    <xf numFmtId="0" fontId="14" fillId="2" borderId="15" xfId="1" applyFont="1" applyFill="1" applyBorder="1" applyAlignment="1">
      <alignment horizontal="center"/>
    </xf>
    <xf numFmtId="0" fontId="4" fillId="3" borderId="15" xfId="1" applyFont="1" applyFill="1" applyBorder="1" applyAlignment="1">
      <alignment horizontal="right"/>
    </xf>
    <xf numFmtId="0" fontId="48" fillId="3" borderId="15" xfId="1" applyFont="1" applyFill="1" applyBorder="1" applyAlignment="1">
      <alignment horizontal="center" vertical="center" wrapText="1"/>
    </xf>
    <xf numFmtId="0" fontId="27" fillId="4" borderId="16" xfId="1" applyFont="1" applyFill="1" applyBorder="1" applyAlignment="1">
      <alignment horizontal="left" vertical="top"/>
    </xf>
    <xf numFmtId="0" fontId="27" fillId="4" borderId="14" xfId="1" applyFont="1" applyFill="1" applyBorder="1" applyAlignment="1">
      <alignment horizontal="left" vertical="top"/>
    </xf>
    <xf numFmtId="0" fontId="27" fillId="4" borderId="17" xfId="1" applyFont="1" applyFill="1" applyBorder="1" applyAlignment="1">
      <alignment horizontal="left" vertical="top"/>
    </xf>
    <xf numFmtId="2" fontId="9" fillId="2" borderId="16" xfId="0" applyNumberFormat="1" applyFont="1" applyFill="1" applyBorder="1" applyAlignment="1">
      <alignment horizontal="center" vertical="center" shrinkToFit="1"/>
    </xf>
    <xf numFmtId="2" fontId="9" fillId="2" borderId="14" xfId="0" applyNumberFormat="1" applyFont="1" applyFill="1" applyBorder="1" applyAlignment="1">
      <alignment horizontal="center" vertical="center" shrinkToFit="1"/>
    </xf>
    <xf numFmtId="2" fontId="9" fillId="2" borderId="17" xfId="0" applyNumberFormat="1" applyFont="1" applyFill="1" applyBorder="1" applyAlignment="1">
      <alignment horizontal="center" vertical="center" shrinkToFit="1"/>
    </xf>
    <xf numFmtId="2" fontId="9" fillId="2" borderId="7" xfId="0" applyNumberFormat="1" applyFont="1" applyFill="1" applyBorder="1" applyAlignment="1">
      <alignment horizontal="center" vertical="center" shrinkToFit="1"/>
    </xf>
    <xf numFmtId="2" fontId="9" fillId="2" borderId="10" xfId="0" applyNumberFormat="1" applyFont="1" applyFill="1" applyBorder="1" applyAlignment="1">
      <alignment horizontal="center" vertical="center" shrinkToFit="1"/>
    </xf>
    <xf numFmtId="2" fontId="9" fillId="2" borderId="24" xfId="0" applyNumberFormat="1" applyFont="1" applyFill="1" applyBorder="1" applyAlignment="1">
      <alignment horizontal="center" vertical="center" shrinkToFit="1"/>
    </xf>
    <xf numFmtId="2" fontId="9" fillId="2" borderId="25" xfId="0" applyNumberFormat="1" applyFont="1" applyFill="1" applyBorder="1" applyAlignment="1">
      <alignment horizontal="center" vertical="center" shrinkToFit="1"/>
    </xf>
    <xf numFmtId="2" fontId="41" fillId="2" borderId="16" xfId="0" applyNumberFormat="1" applyFont="1" applyFill="1" applyBorder="1" applyAlignment="1">
      <alignment horizontal="center" vertical="center" shrinkToFit="1"/>
    </xf>
    <xf numFmtId="2" fontId="41" fillId="2" borderId="14" xfId="0" applyNumberFormat="1" applyFont="1" applyFill="1" applyBorder="1" applyAlignment="1">
      <alignment horizontal="center" vertical="center" shrinkToFit="1"/>
    </xf>
    <xf numFmtId="2" fontId="41" fillId="2" borderId="17" xfId="0" applyNumberFormat="1" applyFont="1" applyFill="1" applyBorder="1" applyAlignment="1">
      <alignment horizontal="center" vertical="center" shrinkToFit="1"/>
    </xf>
    <xf numFmtId="0" fontId="9" fillId="2" borderId="20" xfId="0" applyFont="1" applyFill="1" applyBorder="1" applyAlignment="1">
      <alignment horizontal="center" vertical="center" shrinkToFit="1"/>
    </xf>
    <xf numFmtId="0" fontId="9" fillId="2" borderId="9" xfId="0" applyFont="1" applyFill="1" applyBorder="1" applyAlignment="1">
      <alignment horizontal="center" vertical="center" shrinkToFi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1" fontId="9" fillId="2" borderId="7" xfId="0" applyNumberFormat="1" applyFont="1" applyFill="1" applyBorder="1" applyAlignment="1">
      <alignment horizontal="center" vertical="center" shrinkToFit="1"/>
    </xf>
    <xf numFmtId="1" fontId="9" fillId="2" borderId="10" xfId="0" applyNumberFormat="1" applyFont="1" applyFill="1" applyBorder="1" applyAlignment="1">
      <alignment horizontal="center" vertical="center" shrinkToFit="1"/>
    </xf>
    <xf numFmtId="166" fontId="9" fillId="2" borderId="16" xfId="0" applyNumberFormat="1" applyFont="1" applyFill="1" applyBorder="1" applyAlignment="1">
      <alignment horizontal="center" vertical="center"/>
    </xf>
    <xf numFmtId="166" fontId="9" fillId="2" borderId="14" xfId="0" applyNumberFormat="1" applyFont="1" applyFill="1" applyBorder="1" applyAlignment="1">
      <alignment horizontal="center" vertical="center"/>
    </xf>
    <xf numFmtId="166" fontId="9" fillId="2" borderId="17" xfId="0" applyNumberFormat="1" applyFont="1" applyFill="1" applyBorder="1" applyAlignment="1">
      <alignment horizontal="center" vertical="center"/>
    </xf>
    <xf numFmtId="166" fontId="9" fillId="2" borderId="16" xfId="0" applyNumberFormat="1" applyFont="1" applyFill="1" applyBorder="1" applyAlignment="1">
      <alignment horizontal="center" vertical="center" shrinkToFit="1"/>
    </xf>
    <xf numFmtId="166" fontId="9" fillId="2" borderId="14" xfId="0" applyNumberFormat="1" applyFont="1" applyFill="1" applyBorder="1" applyAlignment="1">
      <alignment horizontal="center" vertical="center" shrinkToFit="1"/>
    </xf>
    <xf numFmtId="166" fontId="9" fillId="2" borderId="17" xfId="0" applyNumberFormat="1" applyFont="1" applyFill="1" applyBorder="1" applyAlignment="1">
      <alignment horizontal="center" vertical="center" shrinkToFit="1"/>
    </xf>
    <xf numFmtId="2" fontId="9" fillId="2" borderId="16" xfId="0" applyNumberFormat="1" applyFont="1" applyFill="1" applyBorder="1" applyAlignment="1">
      <alignment horizontal="center" vertical="center"/>
    </xf>
    <xf numFmtId="2" fontId="9" fillId="2" borderId="14" xfId="0" applyNumberFormat="1" applyFont="1" applyFill="1" applyBorder="1" applyAlignment="1">
      <alignment horizontal="center" vertical="center"/>
    </xf>
    <xf numFmtId="2" fontId="9" fillId="2" borderId="17" xfId="0" applyNumberFormat="1" applyFont="1" applyFill="1" applyBorder="1" applyAlignment="1">
      <alignment horizontal="center" vertical="center"/>
    </xf>
    <xf numFmtId="0" fontId="9" fillId="2" borderId="20" xfId="4" applyFont="1" applyFill="1" applyBorder="1" applyAlignment="1">
      <alignment horizontal="center" vertical="center" shrinkToFit="1"/>
    </xf>
    <xf numFmtId="0" fontId="9" fillId="2" borderId="9" xfId="4" applyFont="1" applyFill="1" applyBorder="1" applyAlignment="1">
      <alignment horizontal="center" vertical="center" shrinkToFit="1"/>
    </xf>
    <xf numFmtId="49" fontId="35" fillId="2" borderId="15" xfId="12" applyNumberFormat="1" applyFont="1" applyFill="1" applyBorder="1" applyAlignment="1">
      <alignment vertical="center" wrapText="1"/>
    </xf>
    <xf numFmtId="0" fontId="9" fillId="2" borderId="15" xfId="12" applyFont="1" applyFill="1" applyBorder="1" applyAlignment="1">
      <alignment horizontal="center" vertical="center"/>
    </xf>
    <xf numFmtId="49" fontId="15" fillId="2" borderId="15" xfId="5" applyNumberFormat="1" applyFont="1" applyFill="1" applyBorder="1" applyAlignment="1">
      <alignment vertical="center" wrapText="1"/>
    </xf>
    <xf numFmtId="0" fontId="9" fillId="2" borderId="15" xfId="16" applyFont="1" applyFill="1" applyBorder="1" applyAlignment="1">
      <alignment horizontal="center" vertical="center" wrapText="1"/>
    </xf>
    <xf numFmtId="49" fontId="9" fillId="2" borderId="15" xfId="21" applyNumberFormat="1" applyFont="1" applyFill="1" applyBorder="1" applyAlignment="1">
      <alignment horizontal="left" vertical="center" wrapText="1"/>
    </xf>
    <xf numFmtId="0" fontId="9" fillId="2" borderId="15" xfId="21" applyFont="1" applyFill="1" applyBorder="1" applyAlignment="1">
      <alignment horizontal="center" vertical="center"/>
    </xf>
    <xf numFmtId="49" fontId="9" fillId="2" borderId="7" xfId="21" applyNumberFormat="1" applyFont="1" applyFill="1" applyBorder="1" applyAlignment="1">
      <alignment horizontal="left" vertical="center" wrapText="1"/>
    </xf>
    <xf numFmtId="49" fontId="9" fillId="2" borderId="10" xfId="21" applyNumberFormat="1" applyFont="1" applyFill="1" applyBorder="1" applyAlignment="1">
      <alignment horizontal="left" vertical="center" wrapText="1"/>
    </xf>
    <xf numFmtId="0" fontId="9" fillId="2" borderId="7" xfId="21" applyFont="1" applyFill="1" applyBorder="1" applyAlignment="1">
      <alignment horizontal="center" vertical="center"/>
    </xf>
    <xf numFmtId="0" fontId="9" fillId="2" borderId="10" xfId="21" applyFont="1" applyFill="1" applyBorder="1" applyAlignment="1">
      <alignment horizontal="center" vertical="center"/>
    </xf>
    <xf numFmtId="2" fontId="9" fillId="2" borderId="11" xfId="0" applyNumberFormat="1" applyFont="1" applyFill="1" applyBorder="1" applyAlignment="1">
      <alignment horizontal="center" vertical="center" shrinkToFit="1"/>
    </xf>
    <xf numFmtId="2" fontId="9" fillId="2" borderId="1" xfId="0" applyNumberFormat="1" applyFont="1" applyFill="1" applyBorder="1" applyAlignment="1">
      <alignment horizontal="center" vertical="center" shrinkToFit="1"/>
    </xf>
    <xf numFmtId="2" fontId="9" fillId="2" borderId="12" xfId="0" applyNumberFormat="1" applyFont="1" applyFill="1" applyBorder="1" applyAlignment="1">
      <alignment horizontal="center" vertical="center" shrinkToFit="1"/>
    </xf>
    <xf numFmtId="0" fontId="61" fillId="2" borderId="15" xfId="22" applyFont="1" applyFill="1" applyBorder="1" applyAlignment="1">
      <alignment horizontal="left" vertical="center" wrapText="1"/>
    </xf>
    <xf numFmtId="2" fontId="9" fillId="2" borderId="5" xfId="0" applyNumberFormat="1" applyFont="1" applyFill="1" applyBorder="1" applyAlignment="1">
      <alignment horizontal="center" vertical="center" shrinkToFit="1"/>
    </xf>
    <xf numFmtId="2" fontId="9" fillId="2" borderId="8" xfId="0" applyNumberFormat="1" applyFont="1" applyFill="1" applyBorder="1" applyAlignment="1">
      <alignment horizontal="center" vertical="center" shrinkToFit="1"/>
    </xf>
    <xf numFmtId="2" fontId="9" fillId="2" borderId="21" xfId="0" applyNumberFormat="1" applyFont="1" applyFill="1" applyBorder="1" applyAlignment="1">
      <alignment horizontal="center" vertical="center" shrinkToFit="1"/>
    </xf>
    <xf numFmtId="2" fontId="9" fillId="2" borderId="22" xfId="0" applyNumberFormat="1" applyFont="1" applyFill="1" applyBorder="1" applyAlignment="1">
      <alignment horizontal="center" vertical="center" shrinkToFit="1"/>
    </xf>
    <xf numFmtId="2" fontId="9" fillId="2" borderId="23" xfId="0" applyNumberFormat="1" applyFont="1" applyFill="1" applyBorder="1" applyAlignment="1">
      <alignment horizontal="center" vertical="center" shrinkToFit="1"/>
    </xf>
    <xf numFmtId="2" fontId="9" fillId="2" borderId="2" xfId="0" applyNumberFormat="1" applyFont="1" applyFill="1" applyBorder="1" applyAlignment="1">
      <alignment horizontal="center" vertical="center" shrinkToFit="1"/>
    </xf>
    <xf numFmtId="2" fontId="9" fillId="2" borderId="0" xfId="0" applyNumberFormat="1" applyFont="1" applyFill="1" applyAlignment="1">
      <alignment horizontal="center" vertical="center" shrinkToFit="1"/>
    </xf>
    <xf numFmtId="2" fontId="9" fillId="2" borderId="6" xfId="0" applyNumberFormat="1" applyFont="1" applyFill="1" applyBorder="1" applyAlignment="1">
      <alignment horizontal="center" vertical="center" shrinkToFit="1"/>
    </xf>
    <xf numFmtId="0" fontId="9" fillId="2" borderId="4" xfId="0" applyFont="1" applyFill="1" applyBorder="1" applyAlignment="1">
      <alignment horizontal="center" vertical="center" shrinkToFi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9" fillId="2" borderId="5" xfId="21" applyNumberFormat="1" applyFont="1" applyFill="1" applyBorder="1" applyAlignment="1">
      <alignment horizontal="left" vertical="center" wrapText="1"/>
    </xf>
    <xf numFmtId="0" fontId="9" fillId="2" borderId="5" xfId="21" applyFont="1" applyFill="1" applyBorder="1" applyAlignment="1">
      <alignment horizontal="center" vertical="center"/>
    </xf>
    <xf numFmtId="167" fontId="9" fillId="2" borderId="7" xfId="0" applyNumberFormat="1" applyFont="1" applyFill="1" applyBorder="1" applyAlignment="1">
      <alignment horizontal="center" vertical="center" shrinkToFit="1"/>
    </xf>
    <xf numFmtId="167" fontId="9" fillId="2" borderId="5" xfId="0" applyNumberFormat="1" applyFont="1" applyFill="1" applyBorder="1" applyAlignment="1">
      <alignment horizontal="center" vertical="center" shrinkToFit="1"/>
    </xf>
    <xf numFmtId="167" fontId="9" fillId="2" borderId="10" xfId="0" applyNumberFormat="1" applyFont="1" applyFill="1" applyBorder="1" applyAlignment="1">
      <alignment horizontal="center" vertical="center" shrinkToFit="1"/>
    </xf>
    <xf numFmtId="165" fontId="9" fillId="2" borderId="16" xfId="0" applyNumberFormat="1" applyFont="1" applyFill="1" applyBorder="1" applyAlignment="1">
      <alignment horizontal="center" vertical="center"/>
    </xf>
    <xf numFmtId="165" fontId="9" fillId="2" borderId="14" xfId="0" applyNumberFormat="1" applyFont="1" applyFill="1" applyBorder="1" applyAlignment="1">
      <alignment horizontal="center" vertical="center"/>
    </xf>
    <xf numFmtId="165" fontId="9" fillId="2" borderId="17" xfId="0" applyNumberFormat="1" applyFont="1" applyFill="1" applyBorder="1" applyAlignment="1">
      <alignment horizontal="center" vertical="center"/>
    </xf>
    <xf numFmtId="2" fontId="9" fillId="2" borderId="7" xfId="5" applyNumberFormat="1" applyFont="1" applyFill="1" applyBorder="1" applyAlignment="1">
      <alignment horizontal="center" vertical="center" shrinkToFit="1"/>
    </xf>
    <xf numFmtId="2" fontId="9" fillId="2" borderId="10" xfId="5" applyNumberFormat="1" applyFont="1" applyFill="1" applyBorder="1" applyAlignment="1">
      <alignment horizontal="center" vertical="center" shrinkToFit="1"/>
    </xf>
    <xf numFmtId="0" fontId="9" fillId="2" borderId="20" xfId="5" applyFont="1" applyFill="1" applyBorder="1" applyAlignment="1">
      <alignment horizontal="center" vertical="center" shrinkToFit="1"/>
    </xf>
    <xf numFmtId="0" fontId="9" fillId="2" borderId="9" xfId="5" applyFont="1" applyFill="1" applyBorder="1" applyAlignment="1">
      <alignment horizontal="center" vertical="center" shrinkToFit="1"/>
    </xf>
    <xf numFmtId="49" fontId="9" fillId="2" borderId="7" xfId="5" applyNumberFormat="1" applyFont="1" applyFill="1" applyBorder="1" applyAlignment="1">
      <alignment horizontal="center" vertical="center" wrapText="1"/>
    </xf>
    <xf numFmtId="49" fontId="9" fillId="2" borderId="10" xfId="5" applyNumberFormat="1" applyFont="1" applyFill="1" applyBorder="1" applyAlignment="1">
      <alignment horizontal="center" vertical="center" wrapText="1"/>
    </xf>
    <xf numFmtId="0" fontId="35" fillId="2" borderId="7" xfId="18" applyFont="1" applyFill="1" applyBorder="1" applyAlignment="1">
      <alignment horizontal="left" vertical="center" wrapText="1"/>
    </xf>
    <xf numFmtId="0" fontId="35" fillId="2" borderId="10" xfId="18" applyFont="1" applyFill="1" applyBorder="1" applyAlignment="1">
      <alignment horizontal="left" vertical="center" wrapText="1"/>
    </xf>
    <xf numFmtId="0" fontId="9" fillId="2" borderId="7" xfId="20" applyFont="1" applyFill="1" applyBorder="1" applyAlignment="1">
      <alignment horizontal="center" vertical="center"/>
    </xf>
    <xf numFmtId="0" fontId="9" fillId="2" borderId="10" xfId="20" applyFont="1" applyFill="1" applyBorder="1" applyAlignment="1">
      <alignment horizontal="center" vertical="center"/>
    </xf>
    <xf numFmtId="0" fontId="9" fillId="2" borderId="7" xfId="5" applyFont="1" applyFill="1" applyBorder="1" applyAlignment="1">
      <alignment horizontal="center" vertical="center"/>
    </xf>
    <xf numFmtId="0" fontId="9" fillId="2" borderId="10" xfId="5" applyFont="1" applyFill="1" applyBorder="1" applyAlignment="1">
      <alignment horizontal="center" vertical="center"/>
    </xf>
    <xf numFmtId="2" fontId="31" fillId="2" borderId="24" xfId="5" applyNumberFormat="1" applyFont="1" applyFill="1" applyBorder="1" applyAlignment="1">
      <alignment horizontal="center" vertical="center" shrinkToFit="1"/>
    </xf>
    <xf numFmtId="2" fontId="31" fillId="2" borderId="25" xfId="5" applyNumberFormat="1" applyFont="1" applyFill="1" applyBorder="1" applyAlignment="1">
      <alignment horizontal="center" vertical="center" shrinkToFit="1"/>
    </xf>
    <xf numFmtId="0" fontId="11" fillId="4" borderId="15" xfId="1" applyFont="1" applyFill="1" applyBorder="1" applyAlignment="1">
      <alignment horizontal="left" vertical="center" wrapText="1"/>
    </xf>
    <xf numFmtId="49" fontId="15" fillId="2" borderId="15" xfId="19" applyNumberFormat="1" applyFont="1" applyFill="1" applyBorder="1" applyAlignment="1">
      <alignment vertical="center" wrapText="1"/>
    </xf>
    <xf numFmtId="49" fontId="35" fillId="2" borderId="7" xfId="17" applyNumberFormat="1" applyFont="1" applyFill="1" applyBorder="1" applyAlignment="1">
      <alignment horizontal="left" vertical="center" wrapText="1"/>
    </xf>
    <xf numFmtId="49" fontId="35" fillId="2" borderId="10" xfId="17" applyNumberFormat="1" applyFont="1" applyFill="1" applyBorder="1" applyAlignment="1">
      <alignment horizontal="left" vertical="center" wrapText="1"/>
    </xf>
    <xf numFmtId="2" fontId="15" fillId="2" borderId="18" xfId="0" applyNumberFormat="1" applyFont="1" applyFill="1" applyBorder="1" applyAlignment="1">
      <alignment horizontal="center" vertical="center" shrinkToFit="1"/>
    </xf>
    <xf numFmtId="0" fontId="9" fillId="2" borderId="7" xfId="18" applyFont="1" applyFill="1" applyBorder="1" applyAlignment="1">
      <alignment horizontal="center" vertical="center"/>
    </xf>
    <xf numFmtId="0" fontId="9" fillId="2" borderId="10" xfId="18" applyFont="1" applyFill="1" applyBorder="1" applyAlignment="1">
      <alignment horizontal="center" vertical="center"/>
    </xf>
    <xf numFmtId="2" fontId="9" fillId="2" borderId="19" xfId="0" applyNumberFormat="1" applyFont="1" applyFill="1" applyBorder="1" applyAlignment="1">
      <alignment horizontal="center" vertical="center" wrapText="1" shrinkToFit="1"/>
    </xf>
    <xf numFmtId="49" fontId="35" fillId="2" borderId="5" xfId="17" applyNumberFormat="1" applyFont="1" applyFill="1" applyBorder="1" applyAlignment="1">
      <alignment horizontal="left" vertical="center" wrapText="1"/>
    </xf>
    <xf numFmtId="0" fontId="9" fillId="2" borderId="5" xfId="18" applyFont="1" applyFill="1" applyBorder="1" applyAlignment="1">
      <alignment horizontal="center" vertical="center"/>
    </xf>
    <xf numFmtId="2" fontId="9" fillId="2" borderId="24" xfId="5" applyNumberFormat="1" applyFont="1" applyFill="1" applyBorder="1" applyAlignment="1">
      <alignment horizontal="center" vertical="center" shrinkToFit="1"/>
    </xf>
    <xf numFmtId="2" fontId="9" fillId="2" borderId="8" xfId="5" applyNumberFormat="1" applyFont="1" applyFill="1" applyBorder="1" applyAlignment="1">
      <alignment horizontal="center" vertical="center" shrinkToFit="1"/>
    </xf>
    <xf numFmtId="2" fontId="9" fillId="2" borderId="11" xfId="5" applyNumberFormat="1" applyFont="1" applyFill="1" applyBorder="1" applyAlignment="1">
      <alignment horizontal="center" vertical="center" shrinkToFit="1"/>
    </xf>
    <xf numFmtId="2" fontId="9" fillId="2" borderId="1" xfId="5" applyNumberFormat="1" applyFont="1" applyFill="1" applyBorder="1" applyAlignment="1">
      <alignment horizontal="center" vertical="center" shrinkToFit="1"/>
    </xf>
    <xf numFmtId="2" fontId="9" fillId="2" borderId="12" xfId="5" applyNumberFormat="1" applyFont="1" applyFill="1" applyBorder="1" applyAlignment="1">
      <alignment horizontal="center" vertical="center" shrinkToFit="1"/>
    </xf>
    <xf numFmtId="49" fontId="35" fillId="2" borderId="7" xfId="14" applyNumberFormat="1" applyFont="1" applyFill="1" applyBorder="1" applyAlignment="1">
      <alignment vertical="center" wrapText="1"/>
    </xf>
    <xf numFmtId="49" fontId="35" fillId="2" borderId="10" xfId="14" applyNumberFormat="1" applyFont="1" applyFill="1" applyBorder="1" applyAlignment="1">
      <alignment vertical="center" wrapText="1"/>
    </xf>
    <xf numFmtId="0" fontId="9" fillId="2" borderId="15" xfId="16" applyFont="1" applyFill="1" applyBorder="1" applyAlignment="1">
      <alignment horizontal="center" vertical="center"/>
    </xf>
    <xf numFmtId="167" fontId="9" fillId="2" borderId="7" xfId="5" applyNumberFormat="1" applyFont="1" applyFill="1" applyBorder="1" applyAlignment="1">
      <alignment horizontal="center" vertical="center" shrinkToFit="1"/>
    </xf>
    <xf numFmtId="167" fontId="9" fillId="2" borderId="10" xfId="5" applyNumberFormat="1" applyFont="1" applyFill="1" applyBorder="1" applyAlignment="1">
      <alignment horizontal="center" vertical="center" shrinkToFit="1"/>
    </xf>
    <xf numFmtId="2" fontId="9" fillId="2" borderId="24" xfId="0" applyNumberFormat="1" applyFont="1" applyFill="1" applyBorder="1" applyAlignment="1">
      <alignment horizontal="center" vertical="center"/>
    </xf>
    <xf numFmtId="2" fontId="9" fillId="2" borderId="8" xfId="0" applyNumberFormat="1" applyFont="1" applyFill="1" applyBorder="1" applyAlignment="1">
      <alignment horizontal="center" vertical="center"/>
    </xf>
    <xf numFmtId="2" fontId="9" fillId="2" borderId="25" xfId="0" applyNumberFormat="1" applyFont="1" applyFill="1" applyBorder="1" applyAlignment="1">
      <alignment horizontal="center" vertical="center"/>
    </xf>
    <xf numFmtId="49" fontId="9" fillId="2" borderId="20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0" fontId="9" fillId="2" borderId="7" xfId="16" applyFont="1" applyFill="1" applyBorder="1" applyAlignment="1">
      <alignment horizontal="center" vertical="center"/>
    </xf>
    <xf numFmtId="0" fontId="9" fillId="2" borderId="5" xfId="16" applyFont="1" applyFill="1" applyBorder="1" applyAlignment="1">
      <alignment horizontal="center" vertical="center"/>
    </xf>
    <xf numFmtId="0" fontId="9" fillId="2" borderId="10" xfId="16" applyFont="1" applyFill="1" applyBorder="1" applyAlignment="1">
      <alignment horizontal="center" vertical="center"/>
    </xf>
    <xf numFmtId="2" fontId="31" fillId="2" borderId="24" xfId="4" applyNumberFormat="1" applyFont="1" applyFill="1" applyBorder="1" applyAlignment="1">
      <alignment horizontal="center" vertical="center" shrinkToFit="1"/>
    </xf>
    <xf numFmtId="2" fontId="31" fillId="2" borderId="25" xfId="4" applyNumberFormat="1" applyFont="1" applyFill="1" applyBorder="1" applyAlignment="1">
      <alignment horizontal="center" vertical="center" shrinkToFit="1"/>
    </xf>
    <xf numFmtId="49" fontId="35" fillId="2" borderId="7" xfId="12" applyNumberFormat="1" applyFont="1" applyFill="1" applyBorder="1" applyAlignment="1">
      <alignment vertical="center" wrapText="1"/>
    </xf>
    <xf numFmtId="49" fontId="35" fillId="2" borderId="10" xfId="12" applyNumberFormat="1" applyFont="1" applyFill="1" applyBorder="1" applyAlignment="1">
      <alignment vertical="center" wrapText="1"/>
    </xf>
    <xf numFmtId="0" fontId="9" fillId="2" borderId="7" xfId="13" applyFont="1" applyFill="1" applyBorder="1" applyAlignment="1">
      <alignment horizontal="center" vertical="center"/>
    </xf>
    <xf numFmtId="0" fontId="9" fillId="2" borderId="10" xfId="13" applyFont="1" applyFill="1" applyBorder="1" applyAlignment="1">
      <alignment horizontal="center" vertical="center"/>
    </xf>
    <xf numFmtId="167" fontId="9" fillId="2" borderId="7" xfId="4" applyNumberFormat="1" applyFont="1" applyFill="1" applyBorder="1" applyAlignment="1">
      <alignment horizontal="center" vertical="center"/>
    </xf>
    <xf numFmtId="167" fontId="9" fillId="2" borderId="10" xfId="4" applyNumberFormat="1" applyFont="1" applyFill="1" applyBorder="1" applyAlignment="1">
      <alignment horizontal="center" vertical="center"/>
    </xf>
    <xf numFmtId="168" fontId="9" fillId="2" borderId="16" xfId="0" applyNumberFormat="1" applyFont="1" applyFill="1" applyBorder="1" applyAlignment="1">
      <alignment horizontal="center" vertical="center" shrinkToFit="1"/>
    </xf>
    <xf numFmtId="168" fontId="9" fillId="2" borderId="14" xfId="0" applyNumberFormat="1" applyFont="1" applyFill="1" applyBorder="1" applyAlignment="1">
      <alignment horizontal="center" vertical="center" shrinkToFit="1"/>
    </xf>
    <xf numFmtId="168" fontId="9" fillId="2" borderId="17" xfId="0" applyNumberFormat="1" applyFont="1" applyFill="1" applyBorder="1" applyAlignment="1">
      <alignment horizontal="center" vertical="center" shrinkToFit="1"/>
    </xf>
    <xf numFmtId="49" fontId="15" fillId="2" borderId="7" xfId="0" applyNumberFormat="1" applyFont="1" applyFill="1" applyBorder="1" applyAlignment="1">
      <alignment horizontal="left" vertical="center" wrapText="1"/>
    </xf>
    <xf numFmtId="49" fontId="15" fillId="2" borderId="5" xfId="0" applyNumberFormat="1" applyFont="1" applyFill="1" applyBorder="1" applyAlignment="1">
      <alignment horizontal="left" vertical="center" wrapText="1"/>
    </xf>
    <xf numFmtId="49" fontId="15" fillId="2" borderId="10" xfId="0" applyNumberFormat="1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center" vertical="center"/>
    </xf>
    <xf numFmtId="0" fontId="8" fillId="2" borderId="7" xfId="7" applyFont="1" applyFill="1" applyBorder="1" applyAlignment="1">
      <alignment horizontal="center" vertical="center"/>
    </xf>
    <xf numFmtId="0" fontId="8" fillId="2" borderId="5" xfId="7" applyFont="1" applyFill="1" applyBorder="1" applyAlignment="1">
      <alignment horizontal="center" vertical="center"/>
    </xf>
    <xf numFmtId="0" fontId="8" fillId="2" borderId="10" xfId="7" applyFont="1" applyFill="1" applyBorder="1" applyAlignment="1">
      <alignment horizontal="center" vertical="center"/>
    </xf>
    <xf numFmtId="166" fontId="9" fillId="2" borderId="21" xfId="0" applyNumberFormat="1" applyFont="1" applyFill="1" applyBorder="1" applyAlignment="1">
      <alignment horizontal="center" vertical="center" shrinkToFit="1"/>
    </xf>
    <xf numFmtId="166" fontId="9" fillId="2" borderId="22" xfId="0" applyNumberFormat="1" applyFont="1" applyFill="1" applyBorder="1" applyAlignment="1">
      <alignment horizontal="center" vertical="center" shrinkToFit="1"/>
    </xf>
    <xf numFmtId="166" fontId="9" fillId="2" borderId="23" xfId="0" applyNumberFormat="1" applyFont="1" applyFill="1" applyBorder="1" applyAlignment="1">
      <alignment horizontal="center" vertical="center" shrinkToFit="1"/>
    </xf>
    <xf numFmtId="0" fontId="9" fillId="2" borderId="50" xfId="0" applyFont="1" applyFill="1" applyBorder="1" applyAlignment="1">
      <alignment horizontal="center" vertical="center" shrinkToFit="1"/>
    </xf>
    <xf numFmtId="0" fontId="9" fillId="2" borderId="51" xfId="0" applyFont="1" applyFill="1" applyBorder="1" applyAlignment="1">
      <alignment horizontal="center" vertical="center" shrinkToFit="1"/>
    </xf>
    <xf numFmtId="165" fontId="9" fillId="2" borderId="16" xfId="0" applyNumberFormat="1" applyFont="1" applyFill="1" applyBorder="1" applyAlignment="1">
      <alignment horizontal="center" vertical="center" shrinkToFit="1"/>
    </xf>
    <xf numFmtId="165" fontId="9" fillId="2" borderId="14" xfId="0" applyNumberFormat="1" applyFont="1" applyFill="1" applyBorder="1" applyAlignment="1">
      <alignment horizontal="center" vertical="center" shrinkToFit="1"/>
    </xf>
    <xf numFmtId="165" fontId="9" fillId="2" borderId="17" xfId="0" applyNumberFormat="1" applyFont="1" applyFill="1" applyBorder="1" applyAlignment="1">
      <alignment horizontal="center" vertical="center" shrinkToFit="1"/>
    </xf>
    <xf numFmtId="2" fontId="9" fillId="2" borderId="18" xfId="0" applyNumberFormat="1" applyFont="1" applyFill="1" applyBorder="1" applyAlignment="1">
      <alignment horizontal="center" vertical="center" shrinkToFit="1"/>
    </xf>
    <xf numFmtId="49" fontId="35" fillId="2" borderId="7" xfId="15" applyNumberFormat="1" applyFont="1" applyFill="1" applyBorder="1" applyAlignment="1">
      <alignment horizontal="left" vertical="center" wrapText="1"/>
    </xf>
    <xf numFmtId="49" fontId="35" fillId="2" borderId="10" xfId="15" applyNumberFormat="1" applyFont="1" applyFill="1" applyBorder="1" applyAlignment="1">
      <alignment horizontal="left" vertical="center" wrapText="1"/>
    </xf>
    <xf numFmtId="0" fontId="35" fillId="2" borderId="7" xfId="15" applyFont="1" applyFill="1" applyBorder="1" applyAlignment="1">
      <alignment horizontal="center" vertical="center"/>
    </xf>
    <xf numFmtId="0" fontId="35" fillId="2" borderId="10" xfId="15" applyFont="1" applyFill="1" applyBorder="1" applyAlignment="1">
      <alignment horizontal="center" vertical="center"/>
    </xf>
    <xf numFmtId="49" fontId="35" fillId="2" borderId="15" xfId="15" applyNumberFormat="1" applyFont="1" applyFill="1" applyBorder="1" applyAlignment="1">
      <alignment horizontal="left" vertical="center" wrapText="1"/>
    </xf>
    <xf numFmtId="2" fontId="9" fillId="2" borderId="16" xfId="0" applyNumberFormat="1" applyFont="1" applyFill="1" applyBorder="1" applyAlignment="1">
      <alignment horizontal="center" vertical="top" shrinkToFit="1"/>
    </xf>
    <xf numFmtId="2" fontId="9" fillId="2" borderId="14" xfId="0" applyNumberFormat="1" applyFont="1" applyFill="1" applyBorder="1" applyAlignment="1">
      <alignment horizontal="center" vertical="top" shrinkToFit="1"/>
    </xf>
    <xf numFmtId="2" fontId="9" fillId="2" borderId="17" xfId="0" applyNumberFormat="1" applyFont="1" applyFill="1" applyBorder="1" applyAlignment="1">
      <alignment horizontal="center" vertical="top" shrinkToFit="1"/>
    </xf>
    <xf numFmtId="2" fontId="15" fillId="2" borderId="16" xfId="0" applyNumberFormat="1" applyFont="1" applyFill="1" applyBorder="1" applyAlignment="1">
      <alignment horizontal="center" vertical="center" shrinkToFit="1"/>
    </xf>
    <xf numFmtId="2" fontId="15" fillId="2" borderId="21" xfId="5" applyNumberFormat="1" applyFont="1" applyFill="1" applyBorder="1" applyAlignment="1">
      <alignment horizontal="center" vertical="center" wrapText="1" shrinkToFit="1"/>
    </xf>
    <xf numFmtId="2" fontId="15" fillId="2" borderId="22" xfId="5" applyNumberFormat="1" applyFont="1" applyFill="1" applyBorder="1" applyAlignment="1">
      <alignment horizontal="center" vertical="center" wrapText="1" shrinkToFit="1"/>
    </xf>
    <xf numFmtId="2" fontId="15" fillId="2" borderId="23" xfId="5" applyNumberFormat="1" applyFont="1" applyFill="1" applyBorder="1" applyAlignment="1">
      <alignment horizontal="center" vertical="center" wrapText="1" shrinkToFit="1"/>
    </xf>
    <xf numFmtId="2" fontId="15" fillId="2" borderId="11" xfId="5" applyNumberFormat="1" applyFont="1" applyFill="1" applyBorder="1" applyAlignment="1">
      <alignment horizontal="center" vertical="center" wrapText="1" shrinkToFit="1"/>
    </xf>
    <xf numFmtId="2" fontId="15" fillId="2" borderId="1" xfId="5" applyNumberFormat="1" applyFont="1" applyFill="1" applyBorder="1" applyAlignment="1">
      <alignment horizontal="center" vertical="center" wrapText="1" shrinkToFit="1"/>
    </xf>
    <xf numFmtId="2" fontId="15" fillId="2" borderId="12" xfId="5" applyNumberFormat="1" applyFont="1" applyFill="1" applyBorder="1" applyAlignment="1">
      <alignment horizontal="center" vertical="center" wrapText="1" shrinkToFit="1"/>
    </xf>
    <xf numFmtId="2" fontId="15" fillId="2" borderId="21" xfId="5" applyNumberFormat="1" applyFont="1" applyFill="1" applyBorder="1" applyAlignment="1">
      <alignment horizontal="center" vertical="center" shrinkToFit="1"/>
    </xf>
    <xf numFmtId="2" fontId="15" fillId="2" borderId="22" xfId="5" applyNumberFormat="1" applyFont="1" applyFill="1" applyBorder="1" applyAlignment="1">
      <alignment horizontal="center" vertical="center" shrinkToFit="1"/>
    </xf>
    <xf numFmtId="2" fontId="15" fillId="2" borderId="23" xfId="5" applyNumberFormat="1" applyFont="1" applyFill="1" applyBorder="1" applyAlignment="1">
      <alignment horizontal="center" vertical="center" shrinkToFit="1"/>
    </xf>
    <xf numFmtId="2" fontId="15" fillId="2" borderId="11" xfId="5" applyNumberFormat="1" applyFont="1" applyFill="1" applyBorder="1" applyAlignment="1">
      <alignment horizontal="center" vertical="center" shrinkToFit="1"/>
    </xf>
    <xf numFmtId="2" fontId="15" fillId="2" borderId="1" xfId="5" applyNumberFormat="1" applyFont="1" applyFill="1" applyBorder="1" applyAlignment="1">
      <alignment horizontal="center" vertical="center" shrinkToFit="1"/>
    </xf>
    <xf numFmtId="2" fontId="15" fillId="2" borderId="12" xfId="5" applyNumberFormat="1" applyFont="1" applyFill="1" applyBorder="1" applyAlignment="1">
      <alignment horizontal="center" vertical="center" shrinkToFit="1"/>
    </xf>
    <xf numFmtId="0" fontId="36" fillId="2" borderId="20" xfId="0" applyFont="1" applyFill="1" applyBorder="1" applyAlignment="1">
      <alignment horizontal="center" vertical="center"/>
    </xf>
    <xf numFmtId="0" fontId="36" fillId="2" borderId="4" xfId="0" applyFont="1" applyFill="1" applyBorder="1" applyAlignment="1">
      <alignment horizontal="center" vertical="center"/>
    </xf>
    <xf numFmtId="0" fontId="36" fillId="2" borderId="9" xfId="0" applyFont="1" applyFill="1" applyBorder="1" applyAlignment="1">
      <alignment horizontal="center" vertical="center"/>
    </xf>
    <xf numFmtId="49" fontId="9" fillId="2" borderId="5" xfId="0" applyNumberFormat="1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9" fillId="2" borderId="24" xfId="4" applyFont="1" applyFill="1" applyBorder="1" applyAlignment="1">
      <alignment horizontal="center" vertical="top"/>
    </xf>
    <xf numFmtId="0" fontId="9" fillId="2" borderId="25" xfId="4" applyFont="1" applyFill="1" applyBorder="1" applyAlignment="1">
      <alignment horizontal="center" vertical="top"/>
    </xf>
    <xf numFmtId="166" fontId="31" fillId="2" borderId="11" xfId="4" applyNumberFormat="1" applyFont="1" applyFill="1" applyBorder="1" applyAlignment="1">
      <alignment horizontal="center" vertical="center" shrinkToFit="1"/>
    </xf>
    <xf numFmtId="166" fontId="31" fillId="2" borderId="1" xfId="4" applyNumberFormat="1" applyFont="1" applyFill="1" applyBorder="1" applyAlignment="1">
      <alignment horizontal="center" vertical="center" shrinkToFit="1"/>
    </xf>
    <xf numFmtId="166" fontId="31" fillId="2" borderId="12" xfId="4" applyNumberFormat="1" applyFont="1" applyFill="1" applyBorder="1" applyAlignment="1">
      <alignment horizontal="center" vertical="center" shrinkToFit="1"/>
    </xf>
    <xf numFmtId="49" fontId="9" fillId="2" borderId="20" xfId="4" applyNumberFormat="1" applyFont="1" applyFill="1" applyBorder="1" applyAlignment="1">
      <alignment vertical="center" wrapText="1"/>
    </xf>
    <xf numFmtId="49" fontId="9" fillId="2" borderId="9" xfId="4" applyNumberFormat="1" applyFont="1" applyFill="1" applyBorder="1" applyAlignment="1">
      <alignment vertical="center" wrapText="1"/>
    </xf>
    <xf numFmtId="167" fontId="9" fillId="2" borderId="7" xfId="5" applyNumberFormat="1" applyFont="1" applyFill="1" applyBorder="1" applyAlignment="1">
      <alignment horizontal="center" vertical="center"/>
    </xf>
    <xf numFmtId="167" fontId="9" fillId="2" borderId="10" xfId="5" applyNumberFormat="1" applyFont="1" applyFill="1" applyBorder="1" applyAlignment="1">
      <alignment horizontal="center" vertical="center"/>
    </xf>
    <xf numFmtId="166" fontId="9" fillId="2" borderId="21" xfId="4" applyNumberFormat="1" applyFont="1" applyFill="1" applyBorder="1" applyAlignment="1">
      <alignment horizontal="center" vertical="center" shrinkToFit="1"/>
    </xf>
    <xf numFmtId="166" fontId="9" fillId="2" borderId="22" xfId="4" applyNumberFormat="1" applyFont="1" applyFill="1" applyBorder="1" applyAlignment="1">
      <alignment horizontal="center" vertical="center" shrinkToFit="1"/>
    </xf>
    <xf numFmtId="166" fontId="9" fillId="2" borderId="23" xfId="4" applyNumberFormat="1" applyFont="1" applyFill="1" applyBorder="1" applyAlignment="1">
      <alignment horizontal="center" vertical="center" shrinkToFit="1"/>
    </xf>
    <xf numFmtId="166" fontId="9" fillId="2" borderId="11" xfId="4" applyNumberFormat="1" applyFont="1" applyFill="1" applyBorder="1" applyAlignment="1">
      <alignment horizontal="center" vertical="center" shrinkToFit="1"/>
    </xf>
    <xf numFmtId="166" fontId="9" fillId="2" borderId="1" xfId="4" applyNumberFormat="1" applyFont="1" applyFill="1" applyBorder="1" applyAlignment="1">
      <alignment horizontal="center" vertical="center" shrinkToFit="1"/>
    </xf>
    <xf numFmtId="166" fontId="9" fillId="2" borderId="12" xfId="4" applyNumberFormat="1" applyFont="1" applyFill="1" applyBorder="1" applyAlignment="1">
      <alignment horizontal="center" vertical="center" shrinkToFit="1"/>
    </xf>
    <xf numFmtId="0" fontId="35" fillId="2" borderId="5" xfId="14" applyFont="1" applyFill="1" applyBorder="1" applyAlignment="1">
      <alignment horizontal="center" vertical="center"/>
    </xf>
    <xf numFmtId="0" fontId="35" fillId="2" borderId="10" xfId="14" applyFont="1" applyFill="1" applyBorder="1" applyAlignment="1">
      <alignment horizontal="center" vertical="center"/>
    </xf>
    <xf numFmtId="167" fontId="9" fillId="2" borderId="7" xfId="4" applyNumberFormat="1" applyFont="1" applyFill="1" applyBorder="1" applyAlignment="1">
      <alignment horizontal="center" vertical="center" shrinkToFit="1"/>
    </xf>
    <xf numFmtId="167" fontId="9" fillId="2" borderId="10" xfId="4" applyNumberFormat="1" applyFont="1" applyFill="1" applyBorder="1" applyAlignment="1">
      <alignment horizontal="center" vertical="center" shrinkToFit="1"/>
    </xf>
    <xf numFmtId="166" fontId="9" fillId="2" borderId="10" xfId="4" applyNumberFormat="1" applyFont="1" applyFill="1" applyBorder="1" applyAlignment="1">
      <alignment horizontal="center" vertical="center" shrinkToFit="1"/>
    </xf>
    <xf numFmtId="2" fontId="9" fillId="2" borderId="26" xfId="4" applyNumberFormat="1" applyFont="1" applyFill="1" applyBorder="1" applyAlignment="1">
      <alignment horizontal="center" vertical="center" shrinkToFit="1"/>
    </xf>
    <xf numFmtId="2" fontId="9" fillId="2" borderId="30" xfId="4" applyNumberFormat="1" applyFont="1" applyFill="1" applyBorder="1" applyAlignment="1">
      <alignment horizontal="center" vertical="center" shrinkToFit="1"/>
    </xf>
    <xf numFmtId="166" fontId="9" fillId="2" borderId="10" xfId="4" applyNumberFormat="1" applyFont="1" applyFill="1" applyBorder="1" applyAlignment="1">
      <alignment horizontal="center" vertical="center"/>
    </xf>
    <xf numFmtId="2" fontId="9" fillId="2" borderId="5" xfId="4" applyNumberFormat="1" applyFont="1" applyFill="1" applyBorder="1" applyAlignment="1">
      <alignment horizontal="center" vertical="center" shrinkToFit="1"/>
    </xf>
    <xf numFmtId="0" fontId="9" fillId="2" borderId="4" xfId="4" applyFont="1" applyFill="1" applyBorder="1" applyAlignment="1">
      <alignment horizontal="center" vertical="center" shrinkToFit="1"/>
    </xf>
    <xf numFmtId="0" fontId="9" fillId="2" borderId="5" xfId="4" applyFont="1" applyFill="1" applyBorder="1" applyAlignment="1">
      <alignment horizontal="center" vertical="center"/>
    </xf>
    <xf numFmtId="0" fontId="24" fillId="3" borderId="16" xfId="1" applyFont="1" applyFill="1" applyBorder="1" applyAlignment="1">
      <alignment horizontal="center" vertical="center" wrapText="1"/>
    </xf>
    <xf numFmtId="0" fontId="28" fillId="3" borderId="14" xfId="1" applyFont="1" applyFill="1" applyBorder="1" applyAlignment="1">
      <alignment horizontal="center"/>
    </xf>
    <xf numFmtId="0" fontId="28" fillId="3" borderId="17" xfId="1" applyFont="1" applyFill="1" applyBorder="1" applyAlignment="1">
      <alignment horizontal="center"/>
    </xf>
    <xf numFmtId="0" fontId="24" fillId="3" borderId="14" xfId="1" applyFont="1" applyFill="1" applyBorder="1" applyAlignment="1">
      <alignment horizontal="center" vertical="center" wrapText="1"/>
    </xf>
    <xf numFmtId="0" fontId="24" fillId="3" borderId="17" xfId="1" applyFont="1" applyFill="1" applyBorder="1" applyAlignment="1">
      <alignment horizontal="center" vertical="center" wrapText="1"/>
    </xf>
    <xf numFmtId="2" fontId="59" fillId="3" borderId="15" xfId="3" applyNumberFormat="1" applyFont="1" applyFill="1" applyBorder="1" applyAlignment="1">
      <alignment horizontal="center" vertical="center" textRotation="90" wrapText="1"/>
    </xf>
    <xf numFmtId="0" fontId="18" fillId="3" borderId="7" xfId="1" applyFont="1" applyFill="1" applyBorder="1" applyAlignment="1">
      <alignment horizontal="center" vertical="center" textRotation="90"/>
    </xf>
    <xf numFmtId="0" fontId="18" fillId="3" borderId="5" xfId="1" applyFont="1" applyFill="1" applyBorder="1" applyAlignment="1">
      <alignment horizontal="center" vertical="center" textRotation="90"/>
    </xf>
    <xf numFmtId="0" fontId="18" fillId="3" borderId="10" xfId="1" applyFont="1" applyFill="1" applyBorder="1" applyAlignment="1">
      <alignment horizontal="center" vertical="center" textRotation="90"/>
    </xf>
    <xf numFmtId="0" fontId="18" fillId="3" borderId="7" xfId="1" applyFont="1" applyFill="1" applyBorder="1" applyAlignment="1">
      <alignment horizontal="center" vertical="center" textRotation="90" wrapText="1"/>
    </xf>
    <xf numFmtId="0" fontId="18" fillId="3" borderId="5" xfId="1" applyFont="1" applyFill="1" applyBorder="1" applyAlignment="1">
      <alignment horizontal="center" vertical="center" textRotation="90" wrapText="1"/>
    </xf>
    <xf numFmtId="0" fontId="18" fillId="3" borderId="10" xfId="1" applyFont="1" applyFill="1" applyBorder="1" applyAlignment="1">
      <alignment horizontal="center" vertical="center" textRotation="90" wrapText="1"/>
    </xf>
    <xf numFmtId="0" fontId="18" fillId="3" borderId="16" xfId="1" applyFont="1" applyFill="1" applyBorder="1" applyAlignment="1">
      <alignment horizontal="center" vertical="center" wrapText="1"/>
    </xf>
    <xf numFmtId="0" fontId="18" fillId="3" borderId="14" xfId="1" applyFont="1" applyFill="1" applyBorder="1" applyAlignment="1">
      <alignment horizontal="center" vertical="center" wrapText="1"/>
    </xf>
    <xf numFmtId="0" fontId="18" fillId="3" borderId="17" xfId="1" applyFont="1" applyFill="1" applyBorder="1" applyAlignment="1">
      <alignment horizontal="center" vertical="center" wrapText="1"/>
    </xf>
    <xf numFmtId="0" fontId="18" fillId="3" borderId="26" xfId="1" applyFont="1" applyFill="1" applyBorder="1" applyAlignment="1">
      <alignment horizontal="center" vertical="center" textRotation="90" wrapText="1"/>
    </xf>
    <xf numFmtId="0" fontId="18" fillId="3" borderId="56" xfId="1" applyFont="1" applyFill="1" applyBorder="1" applyAlignment="1">
      <alignment horizontal="center" vertical="center" textRotation="90" wrapText="1"/>
    </xf>
    <xf numFmtId="0" fontId="18" fillId="3" borderId="30" xfId="1" applyFont="1" applyFill="1" applyBorder="1" applyAlignment="1">
      <alignment horizontal="center" vertical="center" textRotation="90" wrapText="1"/>
    </xf>
    <xf numFmtId="2" fontId="18" fillId="3" borderId="55" xfId="1" applyNumberFormat="1" applyFont="1" applyFill="1" applyBorder="1" applyAlignment="1">
      <alignment horizontal="center" vertical="center" textRotation="90" wrapText="1"/>
    </xf>
    <xf numFmtId="2" fontId="18" fillId="3" borderId="57" xfId="1" applyNumberFormat="1" applyFont="1" applyFill="1" applyBorder="1" applyAlignment="1">
      <alignment horizontal="center" vertical="center" textRotation="90" wrapText="1"/>
    </xf>
    <xf numFmtId="2" fontId="18" fillId="3" borderId="58" xfId="1" applyNumberFormat="1" applyFont="1" applyFill="1" applyBorder="1" applyAlignment="1">
      <alignment horizontal="center" vertical="center" textRotation="90" wrapText="1"/>
    </xf>
    <xf numFmtId="0" fontId="3" fillId="3" borderId="3" xfId="1" applyFont="1" applyFill="1" applyBorder="1" applyAlignment="1">
      <alignment horizontal="center" vertical="center"/>
    </xf>
    <xf numFmtId="0" fontId="58" fillId="3" borderId="20" xfId="10" applyFont="1" applyFill="1" applyBorder="1" applyAlignment="1">
      <alignment horizontal="center" vertical="center" wrapText="1"/>
    </xf>
    <xf numFmtId="0" fontId="58" fillId="3" borderId="4" xfId="10" applyFont="1" applyFill="1" applyBorder="1" applyAlignment="1">
      <alignment horizontal="center" vertical="center" wrapText="1"/>
    </xf>
    <xf numFmtId="0" fontId="58" fillId="3" borderId="9" xfId="10" applyFont="1" applyFill="1" applyBorder="1" applyAlignment="1">
      <alignment horizontal="center" vertical="center" wrapText="1"/>
    </xf>
    <xf numFmtId="0" fontId="18" fillId="3" borderId="7" xfId="1" applyFont="1" applyFill="1" applyBorder="1" applyAlignment="1">
      <alignment horizontal="center" vertical="center" wrapText="1"/>
    </xf>
    <xf numFmtId="0" fontId="18" fillId="3" borderId="5" xfId="1" applyFont="1" applyFill="1" applyBorder="1" applyAlignment="1">
      <alignment horizontal="center" vertical="center" wrapText="1"/>
    </xf>
    <xf numFmtId="0" fontId="18" fillId="3" borderId="10" xfId="1" applyFont="1" applyFill="1" applyBorder="1" applyAlignment="1">
      <alignment horizontal="center" vertical="center" wrapText="1"/>
    </xf>
    <xf numFmtId="0" fontId="59" fillId="3" borderId="7" xfId="10" applyFont="1" applyFill="1" applyBorder="1" applyAlignment="1">
      <alignment horizontal="center" vertical="center" textRotation="90" wrapText="1"/>
    </xf>
    <xf numFmtId="0" fontId="59" fillId="3" borderId="5" xfId="10" applyFont="1" applyFill="1" applyBorder="1" applyAlignment="1">
      <alignment horizontal="center" vertical="center" textRotation="90" wrapText="1"/>
    </xf>
    <xf numFmtId="0" fontId="59" fillId="3" borderId="10" xfId="10" applyFont="1" applyFill="1" applyBorder="1" applyAlignment="1">
      <alignment horizontal="center" vertical="center" textRotation="90" wrapText="1"/>
    </xf>
    <xf numFmtId="0" fontId="18" fillId="3" borderId="21" xfId="1" applyFont="1" applyFill="1" applyBorder="1" applyAlignment="1">
      <alignment horizontal="center" vertical="center" textRotation="90" wrapText="1"/>
    </xf>
    <xf numFmtId="0" fontId="18" fillId="3" borderId="22" xfId="1" applyFont="1" applyFill="1" applyBorder="1" applyAlignment="1">
      <alignment horizontal="center" vertical="center" textRotation="90" wrapText="1"/>
    </xf>
    <xf numFmtId="0" fontId="18" fillId="3" borderId="23" xfId="1" applyFont="1" applyFill="1" applyBorder="1" applyAlignment="1">
      <alignment horizontal="center" vertical="center" textRotation="90" wrapText="1"/>
    </xf>
    <xf numFmtId="0" fontId="18" fillId="3" borderId="2" xfId="1" applyFont="1" applyFill="1" applyBorder="1" applyAlignment="1">
      <alignment horizontal="center" vertical="center" textRotation="90" wrapText="1"/>
    </xf>
    <xf numFmtId="0" fontId="18" fillId="3" borderId="0" xfId="1" applyFont="1" applyFill="1" applyAlignment="1">
      <alignment horizontal="center" vertical="center" textRotation="90" wrapText="1"/>
    </xf>
    <xf numFmtId="0" fontId="18" fillId="3" borderId="6" xfId="1" applyFont="1" applyFill="1" applyBorder="1" applyAlignment="1">
      <alignment horizontal="center" vertical="center" textRotation="90" wrapText="1"/>
    </xf>
    <xf numFmtId="0" fontId="18" fillId="3" borderId="11" xfId="1" applyFont="1" applyFill="1" applyBorder="1" applyAlignment="1">
      <alignment horizontal="center" vertical="center" textRotation="90" wrapText="1"/>
    </xf>
    <xf numFmtId="0" fontId="18" fillId="3" borderId="1" xfId="1" applyFont="1" applyFill="1" applyBorder="1" applyAlignment="1">
      <alignment horizontal="center" vertical="center" textRotation="90" wrapText="1"/>
    </xf>
    <xf numFmtId="0" fontId="18" fillId="3" borderId="12" xfId="1" applyFont="1" applyFill="1" applyBorder="1" applyAlignment="1">
      <alignment horizontal="center" vertical="center" textRotation="90" wrapText="1"/>
    </xf>
    <xf numFmtId="14" fontId="4" fillId="3" borderId="0" xfId="1" applyNumberFormat="1" applyFont="1" applyFill="1" applyAlignment="1">
      <alignment horizontal="left"/>
    </xf>
    <xf numFmtId="2" fontId="13" fillId="3" borderId="0" xfId="1" applyNumberFormat="1" applyFont="1" applyFill="1" applyAlignment="1">
      <alignment horizontal="center" vertical="center" shrinkToFit="1"/>
    </xf>
    <xf numFmtId="0" fontId="16" fillId="3" borderId="0" xfId="1" applyFont="1" applyFill="1" applyAlignment="1">
      <alignment horizontal="center" shrinkToFit="1"/>
    </xf>
    <xf numFmtId="165" fontId="16" fillId="3" borderId="0" xfId="1" applyNumberFormat="1" applyFont="1" applyFill="1" applyAlignment="1">
      <alignment horizontal="left"/>
    </xf>
    <xf numFmtId="0" fontId="16" fillId="3" borderId="0" xfId="1" applyFont="1" applyFill="1" applyAlignment="1">
      <alignment horizontal="center" wrapText="1"/>
    </xf>
    <xf numFmtId="0" fontId="16" fillId="3" borderId="0" xfId="1" applyFont="1" applyFill="1" applyAlignment="1">
      <alignment horizontal="center"/>
    </xf>
    <xf numFmtId="0" fontId="14" fillId="3" borderId="0" xfId="1" applyFont="1" applyFill="1" applyAlignment="1">
      <alignment horizontal="center" vertical="center"/>
    </xf>
    <xf numFmtId="2" fontId="16" fillId="3" borderId="0" xfId="1" applyNumberFormat="1" applyFont="1" applyFill="1" applyAlignment="1">
      <alignment horizontal="left" vertical="center" shrinkToFit="1"/>
    </xf>
    <xf numFmtId="0" fontId="14" fillId="3" borderId="0" xfId="1" applyFont="1" applyFill="1" applyAlignment="1">
      <alignment horizontal="center"/>
    </xf>
    <xf numFmtId="0" fontId="48" fillId="3" borderId="1" xfId="1" applyFont="1" applyFill="1" applyBorder="1" applyAlignment="1">
      <alignment horizontal="center" vertical="center" wrapText="1"/>
    </xf>
    <xf numFmtId="0" fontId="4" fillId="3" borderId="0" xfId="1" applyFont="1" applyFill="1" applyAlignment="1">
      <alignment horizontal="right"/>
    </xf>
    <xf numFmtId="0" fontId="5" fillId="3" borderId="2" xfId="1" applyFont="1" applyFill="1" applyBorder="1" applyAlignment="1">
      <alignment horizontal="left" vertical="center" indent="35"/>
    </xf>
    <xf numFmtId="0" fontId="5" fillId="3" borderId="0" xfId="1" applyFont="1" applyFill="1" applyAlignment="1">
      <alignment horizontal="left" vertical="center" indent="35"/>
    </xf>
    <xf numFmtId="0" fontId="11" fillId="3" borderId="0" xfId="1" applyFont="1" applyFill="1" applyAlignment="1">
      <alignment horizontal="center"/>
    </xf>
    <xf numFmtId="0" fontId="12" fillId="3" borderId="0" xfId="1" applyFont="1" applyFill="1" applyAlignment="1">
      <alignment horizontal="center" vertical="center"/>
    </xf>
    <xf numFmtId="0" fontId="4" fillId="3" borderId="0" xfId="1" applyFont="1" applyFill="1" applyAlignment="1">
      <alignment horizontal="left"/>
    </xf>
  </cellXfs>
  <cellStyles count="23">
    <cellStyle name="Normal 15" xfId="18" xr:uid="{76B0525B-EC7A-4377-8B43-C653AFA99D6E}"/>
    <cellStyle name="Normal 17 2" xfId="22" xr:uid="{B37D017C-6134-4865-9FE2-B837C167A542}"/>
    <cellStyle name="Normal 19 3" xfId="7" xr:uid="{35E5A730-AFC5-45D2-AE0A-0BAB633AF842}"/>
    <cellStyle name="Normal 2 2 2 2" xfId="1" xr:uid="{856A4C67-D501-4A5D-AD7B-3F4D9296AA86}"/>
    <cellStyle name="Normal 2 2 3" xfId="4" xr:uid="{8DD33CE8-53AA-47C1-A807-CB18D53C6467}"/>
    <cellStyle name="Normal 2 3" xfId="5" xr:uid="{493955C8-839F-4D97-A682-AC31FDF1D61F}"/>
    <cellStyle name="Normal 2 3 11 3" xfId="19" xr:uid="{35981A39-0803-4B84-9526-20F8DCDA14E5}"/>
    <cellStyle name="Normal 2 3 13" xfId="14" xr:uid="{46A818D1-9CFB-4C27-AE8A-4B3EFE345D27}"/>
    <cellStyle name="Normal 2 3 2 7 2 2 2 4" xfId="20" xr:uid="{CE3C0550-C291-4A24-A8D0-297D361BFE00}"/>
    <cellStyle name="Normal 2 3 4 7" xfId="6" xr:uid="{735CA9D2-76C0-422F-8D47-3861390B8C54}"/>
    <cellStyle name="Normal 2 3 6 4" xfId="13" xr:uid="{02C1CE59-99B5-4DB4-BD02-84FABA1450E1}"/>
    <cellStyle name="Normal 2 4" xfId="16" xr:uid="{0BDB52A4-1259-4DEF-835B-2D63FC5D4578}"/>
    <cellStyle name="Normal 2 6 4 2" xfId="12" xr:uid="{D87BC1CF-A493-41DC-934A-FC4F839502EF}"/>
    <cellStyle name="Normal 23" xfId="8" xr:uid="{B46663E3-35BB-4A49-979D-163C69FFBF92}"/>
    <cellStyle name="Normal 26" xfId="21" xr:uid="{5AC73F01-1DE4-4B0E-84EF-836BF416393B}"/>
    <cellStyle name="Normal 5 2" xfId="3" xr:uid="{4ADBE374-88EF-4199-8FF6-FD1D5B9AD595}"/>
    <cellStyle name="Normal 6 2" xfId="11" xr:uid="{F6B3E174-F28F-4FD4-A482-3F472496FDF7}"/>
    <cellStyle name="Normal 8" xfId="10" xr:uid="{83623E9D-FA8A-476C-AC37-1C0EA8C3EF50}"/>
    <cellStyle name="Normal 8 2 2" xfId="15" xr:uid="{A84FD1E1-75CC-4573-8218-8C78FA99E6C4}"/>
    <cellStyle name="Normal 8 2 3" xfId="17" xr:uid="{B2C5149C-EE08-4235-945E-A9EE612A131F}"/>
    <cellStyle name="Normal_Artchut-2_plotina 3 2" xfId="2" xr:uid="{0DEEE4F1-9398-4707-9CFA-7BF839675AD1}"/>
    <cellStyle name="Обычный" xfId="0" builtinId="0"/>
    <cellStyle name="Обычный 2 2" xfId="9" xr:uid="{FDAB580D-ACC0-4C9E-A658-931072A72C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25\6&#8228;%20&#1351;&#1348;&#1329;&#1344;-&#1331;&#1344;&#1329;&#1351;&#1345;&#1330;-2025\02&#8228;%20&#1344;&#1344;%20&#1351;&#1348;&#1329;&#1344;-&#1330;&#1348;&#1329;&#1351;&#1345;&#1330;-25-04%20&#1343;&#1377;&#1404;&#1398;&#1400;&#1410;&#1407;&#1387;%20&#1379;&#1377;&#1382;\&#1358;&#1377;&#1408;&#1380;&#1381;&#1398;&#1387;&#1391;%20&#1331;&#1377;&#138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c  "/>
      <sheetName val="ԱՄՓՈՓ  "/>
      <sheetName val="1"/>
      <sheetName val="2"/>
      <sheetName val="3"/>
      <sheetName val="ծավալ"/>
      <sheetName val="ծավալ ռուս"/>
    </sheetNames>
    <sheetDataSet>
      <sheetData sheetId="0" refreshError="1"/>
      <sheetData sheetId="1" refreshError="1"/>
      <sheetData sheetId="2" refreshError="1">
        <row r="9">
          <cell r="C9" t="str">
            <v xml:space="preserve">№ 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73"/>
  <sheetViews>
    <sheetView tabSelected="1" zoomScaleNormal="100" workbookViewId="0">
      <selection sqref="A1:XFD1"/>
    </sheetView>
  </sheetViews>
  <sheetFormatPr defaultRowHeight="14.4"/>
  <cols>
    <col min="1" max="1" width="3.44140625" style="194" customWidth="1"/>
    <col min="2" max="2" width="7.5546875" style="194" hidden="1" customWidth="1"/>
    <col min="3" max="3" width="61.44140625" style="315" customWidth="1"/>
    <col min="4" max="4" width="5.88671875" style="189" customWidth="1"/>
    <col min="5" max="5" width="6.33203125" style="195" customWidth="1"/>
    <col min="6" max="7" width="2.109375" style="196" hidden="1" customWidth="1"/>
    <col min="8" max="8" width="2.33203125" style="196" hidden="1" customWidth="1"/>
    <col min="9" max="9" width="1.88671875" style="196" hidden="1" customWidth="1"/>
    <col min="10" max="10" width="2.109375" style="196" hidden="1" customWidth="1"/>
    <col min="11" max="11" width="2.44140625" style="196" hidden="1" customWidth="1"/>
    <col min="12" max="12" width="18" style="197" hidden="1" customWidth="1"/>
    <col min="13" max="13" width="4.33203125" style="189" hidden="1" customWidth="1"/>
    <col min="14" max="14" width="5.5546875" style="189" hidden="1" customWidth="1"/>
    <col min="15" max="15" width="6.88671875" style="195" hidden="1" customWidth="1"/>
    <col min="16" max="16" width="5.5546875" style="198" hidden="1" customWidth="1"/>
    <col min="17" max="17" width="5.33203125" style="199" hidden="1" customWidth="1"/>
    <col min="18" max="18" width="5.5546875" style="189" hidden="1" customWidth="1"/>
    <col min="19" max="19" width="5.44140625" style="189" hidden="1" customWidth="1"/>
    <col min="20" max="20" width="7.44140625" style="200" hidden="1" customWidth="1"/>
    <col min="21" max="21" width="7.33203125" style="201" hidden="1" customWidth="1"/>
    <col min="22" max="22" width="9.109375" style="189"/>
    <col min="23" max="23" width="12.33203125" style="189" customWidth="1"/>
    <col min="24" max="24" width="8.44140625" style="189" hidden="1" customWidth="1"/>
    <col min="25" max="25" width="11.88671875" style="189" hidden="1" customWidth="1"/>
    <col min="26" max="26" width="19.5546875" style="189" hidden="1" customWidth="1"/>
    <col min="27" max="30" width="0" hidden="1" customWidth="1"/>
  </cols>
  <sheetData>
    <row r="1" spans="1:31" ht="41.4" customHeight="1">
      <c r="A1" s="629" t="s">
        <v>269</v>
      </c>
      <c r="B1" s="629"/>
      <c r="C1" s="629"/>
      <c r="D1" s="629"/>
      <c r="E1" s="629"/>
      <c r="F1" s="629"/>
      <c r="G1" s="629"/>
      <c r="H1" s="629"/>
      <c r="I1" s="629"/>
      <c r="J1" s="629"/>
      <c r="K1" s="629"/>
      <c r="L1" s="629"/>
      <c r="M1" s="629"/>
      <c r="N1" s="629"/>
      <c r="O1" s="629"/>
      <c r="P1" s="629"/>
      <c r="Q1" s="629"/>
      <c r="R1" s="629"/>
      <c r="S1" s="629"/>
      <c r="T1" s="629"/>
      <c r="U1" s="629"/>
      <c r="V1" s="629"/>
      <c r="W1" s="629"/>
      <c r="X1" s="503"/>
      <c r="Y1" s="503"/>
      <c r="Z1" s="503"/>
      <c r="AA1" s="503"/>
      <c r="AB1" s="503"/>
      <c r="AC1" s="503"/>
      <c r="AD1" s="503"/>
      <c r="AE1" s="503"/>
    </row>
    <row r="2" spans="1:31" hidden="1">
      <c r="A2" s="628"/>
      <c r="B2" s="628"/>
      <c r="C2" s="628"/>
      <c r="D2" s="504"/>
      <c r="E2" s="505"/>
      <c r="F2" s="506"/>
      <c r="G2" s="506"/>
      <c r="H2" s="506"/>
      <c r="I2" s="506"/>
      <c r="J2" s="506"/>
      <c r="K2" s="506"/>
      <c r="L2" s="507"/>
      <c r="M2" s="508"/>
      <c r="N2" s="509"/>
      <c r="O2" s="509"/>
      <c r="P2" s="510"/>
      <c r="Q2" s="511"/>
      <c r="R2" s="509"/>
      <c r="S2" s="509"/>
      <c r="T2" s="512"/>
      <c r="U2" s="513"/>
      <c r="V2" s="514"/>
      <c r="W2" s="514"/>
      <c r="X2" s="205"/>
      <c r="Y2" s="1"/>
      <c r="Z2" s="1"/>
    </row>
    <row r="3" spans="1:31" hidden="1">
      <c r="A3" s="515"/>
      <c r="B3" s="515"/>
      <c r="C3" s="516"/>
      <c r="D3" s="509"/>
      <c r="E3" s="509"/>
      <c r="F3" s="517"/>
      <c r="G3" s="517"/>
      <c r="H3" s="517"/>
      <c r="I3" s="517"/>
      <c r="J3" s="517"/>
      <c r="K3" s="517"/>
      <c r="L3" s="518"/>
      <c r="M3" s="509"/>
      <c r="N3" s="509"/>
      <c r="O3" s="509"/>
      <c r="P3" s="510"/>
      <c r="Q3" s="511"/>
      <c r="R3" s="509"/>
      <c r="S3" s="509"/>
      <c r="T3" s="510"/>
      <c r="U3" s="519"/>
      <c r="V3" s="514"/>
      <c r="W3" s="514"/>
      <c r="X3" s="205"/>
      <c r="Y3" s="1"/>
      <c r="Z3" s="1"/>
    </row>
    <row r="4" spans="1:31" ht="16.2">
      <c r="A4" s="523" t="s">
        <v>0</v>
      </c>
      <c r="B4" s="524"/>
      <c r="C4" s="524"/>
      <c r="D4" s="524"/>
      <c r="E4" s="524"/>
      <c r="F4" s="524"/>
      <c r="G4" s="524"/>
      <c r="H4" s="524"/>
      <c r="I4" s="524"/>
      <c r="J4" s="524"/>
      <c r="K4" s="524"/>
      <c r="L4" s="524"/>
      <c r="M4" s="524"/>
      <c r="N4" s="524"/>
      <c r="O4" s="524"/>
      <c r="P4" s="524"/>
      <c r="Q4" s="524"/>
      <c r="R4" s="524"/>
      <c r="S4" s="524"/>
      <c r="T4" s="524"/>
      <c r="U4" s="524"/>
      <c r="V4" s="524"/>
      <c r="W4" s="525"/>
      <c r="X4" s="214"/>
      <c r="Y4" s="2"/>
      <c r="Z4" s="2"/>
    </row>
    <row r="5" spans="1:31" hidden="1">
      <c r="A5" s="209"/>
      <c r="B5" s="209"/>
      <c r="C5" s="210"/>
      <c r="D5" s="205"/>
      <c r="E5" s="205"/>
      <c r="F5" s="211"/>
      <c r="G5" s="211"/>
      <c r="H5" s="211"/>
      <c r="I5" s="211"/>
      <c r="J5" s="211"/>
      <c r="K5" s="211"/>
      <c r="L5" s="212"/>
      <c r="M5" s="205"/>
      <c r="N5" s="205"/>
      <c r="O5" s="205"/>
      <c r="P5" s="206"/>
      <c r="Q5" s="207"/>
      <c r="R5" s="205"/>
      <c r="S5" s="205"/>
      <c r="T5" s="206"/>
      <c r="U5" s="213"/>
      <c r="V5" s="208"/>
      <c r="W5" s="208"/>
      <c r="X5" s="205"/>
      <c r="Y5" s="1"/>
      <c r="Z5" s="1"/>
    </row>
    <row r="6" spans="1:31" hidden="1">
      <c r="A6" s="209"/>
      <c r="B6" s="209"/>
      <c r="C6" s="210"/>
      <c r="D6" s="204"/>
      <c r="E6" s="531" t="s">
        <v>1</v>
      </c>
      <c r="F6" s="531"/>
      <c r="G6" s="531"/>
      <c r="H6" s="531"/>
      <c r="I6" s="531"/>
      <c r="J6" s="531"/>
      <c r="K6" s="531"/>
      <c r="L6" s="531"/>
      <c r="M6" s="531"/>
      <c r="N6" s="531"/>
      <c r="O6" s="531"/>
      <c r="P6" s="531"/>
      <c r="Q6" s="531"/>
      <c r="R6" s="531"/>
      <c r="S6" s="205"/>
      <c r="T6" s="206"/>
      <c r="U6" s="213"/>
      <c r="V6" s="208"/>
      <c r="W6" s="205"/>
      <c r="X6" s="215"/>
      <c r="Y6" s="1"/>
      <c r="Z6" s="1"/>
    </row>
    <row r="7" spans="1:31" hidden="1">
      <c r="A7" s="209"/>
      <c r="B7" s="209"/>
      <c r="C7" s="210"/>
      <c r="D7" s="205"/>
      <c r="E7" s="530"/>
      <c r="F7" s="530"/>
      <c r="G7" s="530"/>
      <c r="H7" s="530"/>
      <c r="I7" s="530"/>
      <c r="J7" s="530"/>
      <c r="K7" s="530"/>
      <c r="L7" s="530"/>
      <c r="M7" s="530"/>
      <c r="N7" s="530"/>
      <c r="O7" s="530"/>
      <c r="P7" s="530"/>
      <c r="Q7" s="530"/>
      <c r="R7" s="530"/>
      <c r="S7" s="205"/>
      <c r="T7" s="206"/>
      <c r="U7" s="213"/>
      <c r="V7" s="208"/>
      <c r="W7" s="205"/>
      <c r="X7" s="205"/>
      <c r="Y7" s="1"/>
      <c r="Z7" s="1"/>
    </row>
    <row r="8" spans="1:31" hidden="1">
      <c r="A8" s="209"/>
      <c r="B8" s="209"/>
      <c r="C8" s="210"/>
      <c r="D8" s="216"/>
      <c r="E8" s="206"/>
      <c r="F8" s="211"/>
      <c r="G8" s="211"/>
      <c r="H8" s="211"/>
      <c r="I8" s="211"/>
      <c r="J8" s="211"/>
      <c r="K8" s="211"/>
      <c r="L8" s="212"/>
      <c r="M8" s="205"/>
      <c r="N8" s="205"/>
      <c r="O8" s="205"/>
      <c r="P8" s="206"/>
      <c r="Q8" s="207"/>
      <c r="R8" s="217"/>
      <c r="S8" s="205"/>
      <c r="T8" s="206"/>
      <c r="U8" s="213"/>
      <c r="V8" s="208"/>
      <c r="W8" s="205"/>
      <c r="X8" s="205"/>
      <c r="Y8" s="1"/>
      <c r="Z8" s="1"/>
    </row>
    <row r="9" spans="1:31" hidden="1">
      <c r="A9" s="529" t="s">
        <v>2</v>
      </c>
      <c r="B9" s="529"/>
      <c r="C9" s="210" t="s">
        <v>3</v>
      </c>
      <c r="D9" s="205"/>
      <c r="E9" s="205"/>
      <c r="F9" s="211"/>
      <c r="G9" s="211"/>
      <c r="H9" s="211"/>
      <c r="I9" s="211"/>
      <c r="J9" s="211"/>
      <c r="K9" s="211"/>
      <c r="L9" s="212"/>
      <c r="M9" s="205"/>
      <c r="N9" s="205"/>
      <c r="O9" s="204" t="s">
        <v>4</v>
      </c>
      <c r="P9" s="528" t="e">
        <f>+#REF!</f>
        <v>#REF!</v>
      </c>
      <c r="Q9" s="528"/>
      <c r="R9" s="528"/>
      <c r="S9" s="218" t="s">
        <v>5</v>
      </c>
      <c r="T9" s="206"/>
      <c r="U9" s="213"/>
      <c r="V9" s="208"/>
      <c r="W9" s="205"/>
      <c r="X9" s="205"/>
      <c r="Y9" s="1"/>
      <c r="Z9" s="1"/>
    </row>
    <row r="10" spans="1:31" hidden="1">
      <c r="A10" s="219"/>
      <c r="B10" s="219"/>
      <c r="C10" s="220"/>
      <c r="D10" s="221"/>
      <c r="E10" s="621"/>
      <c r="F10" s="621"/>
      <c r="G10" s="621"/>
      <c r="H10" s="211"/>
      <c r="I10" s="211"/>
      <c r="J10" s="211"/>
      <c r="K10" s="211"/>
      <c r="L10" s="212"/>
      <c r="M10" s="205"/>
      <c r="N10" s="205"/>
      <c r="O10" s="204"/>
      <c r="P10" s="528"/>
      <c r="Q10" s="528"/>
      <c r="R10" s="528"/>
      <c r="S10" s="218"/>
      <c r="T10" s="211"/>
      <c r="U10" s="222"/>
      <c r="V10" s="208"/>
      <c r="W10" s="205"/>
      <c r="X10" s="205"/>
      <c r="Y10" s="1"/>
      <c r="Z10" s="1"/>
    </row>
    <row r="11" spans="1:31" hidden="1">
      <c r="A11" s="223" t="s">
        <v>6</v>
      </c>
      <c r="B11" s="223"/>
      <c r="C11" s="231"/>
      <c r="D11" s="622">
        <f>+#REF!</f>
        <v>266060</v>
      </c>
      <c r="E11" s="622"/>
      <c r="F11" s="622"/>
      <c r="G11" s="224"/>
      <c r="H11" s="225"/>
      <c r="I11" s="225" t="s">
        <v>7</v>
      </c>
      <c r="J11" s="224"/>
      <c r="K11" s="224"/>
      <c r="L11" s="226" t="s">
        <v>8</v>
      </c>
      <c r="M11" s="227" t="s">
        <v>9</v>
      </c>
      <c r="N11" s="623">
        <f>+#REF!</f>
        <v>1.1652480000000003</v>
      </c>
      <c r="O11" s="623"/>
      <c r="P11" s="623"/>
      <c r="Q11" s="225"/>
      <c r="R11" s="228"/>
      <c r="S11" s="229"/>
      <c r="T11" s="229"/>
      <c r="U11" s="230"/>
      <c r="V11" s="229"/>
      <c r="W11" s="205"/>
      <c r="X11" s="205"/>
      <c r="Y11" s="1"/>
      <c r="Z11" s="1"/>
    </row>
    <row r="12" spans="1:31" hidden="1">
      <c r="A12" s="223"/>
      <c r="B12" s="223"/>
      <c r="C12" s="231"/>
      <c r="D12" s="232"/>
      <c r="E12" s="233"/>
      <c r="F12" s="234"/>
      <c r="G12" s="235"/>
      <c r="H12" s="236"/>
      <c r="I12" s="236"/>
      <c r="J12" s="235"/>
      <c r="K12" s="235"/>
      <c r="L12" s="226"/>
      <c r="M12" s="229"/>
      <c r="N12" s="237"/>
      <c r="O12" s="229"/>
      <c r="P12" s="238"/>
      <c r="Q12" s="225"/>
      <c r="R12" s="228"/>
      <c r="S12" s="229"/>
      <c r="T12" s="229"/>
      <c r="U12" s="230"/>
      <c r="V12" s="229"/>
      <c r="W12" s="205"/>
      <c r="X12" s="205"/>
      <c r="Y12" s="1"/>
      <c r="Z12" s="1"/>
    </row>
    <row r="13" spans="1:31" hidden="1">
      <c r="A13" s="624" t="s">
        <v>10</v>
      </c>
      <c r="B13" s="624"/>
      <c r="C13" s="624"/>
      <c r="D13" s="239"/>
      <c r="E13" s="625" t="s">
        <v>11</v>
      </c>
      <c r="F13" s="625"/>
      <c r="G13" s="625"/>
      <c r="H13" s="625"/>
      <c r="I13" s="625"/>
      <c r="J13" s="626">
        <f>+#REF!</f>
        <v>2457.83</v>
      </c>
      <c r="K13" s="626"/>
      <c r="L13" s="626"/>
      <c r="M13" s="627" t="s">
        <v>12</v>
      </c>
      <c r="N13" s="627"/>
      <c r="O13" s="627"/>
      <c r="P13" s="627"/>
      <c r="Q13" s="626">
        <f>+#REF!</f>
        <v>3107.16</v>
      </c>
      <c r="R13" s="626"/>
      <c r="S13" s="626"/>
      <c r="T13" s="240"/>
      <c r="U13" s="241"/>
      <c r="V13" s="229"/>
      <c r="W13" s="205"/>
      <c r="X13" s="205"/>
      <c r="Y13" s="1"/>
      <c r="Z13" s="1"/>
    </row>
    <row r="14" spans="1:31" hidden="1">
      <c r="A14" s="242"/>
      <c r="B14" s="242"/>
      <c r="C14" s="231"/>
      <c r="D14" s="205"/>
      <c r="E14" s="205"/>
      <c r="F14" s="211"/>
      <c r="G14" s="211"/>
      <c r="H14" s="211"/>
      <c r="I14" s="616"/>
      <c r="J14" s="616"/>
      <c r="K14" s="616"/>
      <c r="L14" s="212"/>
      <c r="M14" s="205"/>
      <c r="N14" s="205"/>
      <c r="O14" s="205"/>
      <c r="P14" s="206"/>
      <c r="Q14" s="207"/>
      <c r="R14" s="217"/>
      <c r="S14" s="205"/>
      <c r="T14" s="225"/>
      <c r="U14" s="230">
        <f>+D11/35000*7.5</f>
        <v>57.012857142857143</v>
      </c>
      <c r="V14" s="243">
        <f>1.133*1.03*(#REF!+1)*(#REF!+1)*1.11</f>
        <v>1.333196333469</v>
      </c>
      <c r="W14" s="244"/>
      <c r="X14" s="245"/>
      <c r="Y14" s="1"/>
      <c r="Z14" s="1"/>
    </row>
    <row r="15" spans="1:31">
      <c r="A15" s="617" t="s">
        <v>13</v>
      </c>
      <c r="B15" s="618" t="s">
        <v>14</v>
      </c>
      <c r="C15" s="617" t="s">
        <v>15</v>
      </c>
      <c r="D15" s="609" t="s">
        <v>16</v>
      </c>
      <c r="E15" s="609" t="s">
        <v>17</v>
      </c>
      <c r="F15" s="609" t="s">
        <v>18</v>
      </c>
      <c r="G15" s="620"/>
      <c r="H15" s="620"/>
      <c r="I15" s="609" t="s">
        <v>19</v>
      </c>
      <c r="J15" s="609"/>
      <c r="K15" s="609"/>
      <c r="L15" s="607" t="s">
        <v>20</v>
      </c>
      <c r="M15" s="607"/>
      <c r="N15" s="607"/>
      <c r="O15" s="607"/>
      <c r="P15" s="607"/>
      <c r="Q15" s="607"/>
      <c r="R15" s="609" t="s">
        <v>21</v>
      </c>
      <c r="S15" s="609" t="s">
        <v>22</v>
      </c>
      <c r="T15" s="613" t="s">
        <v>23</v>
      </c>
      <c r="U15" s="614" t="s">
        <v>24</v>
      </c>
      <c r="V15" s="609" t="s">
        <v>25</v>
      </c>
      <c r="W15" s="609" t="s">
        <v>23</v>
      </c>
      <c r="X15" s="610" t="s">
        <v>26</v>
      </c>
      <c r="Y15" s="3"/>
      <c r="Z15" s="3"/>
    </row>
    <row r="16" spans="1:31">
      <c r="A16" s="617"/>
      <c r="B16" s="618"/>
      <c r="C16" s="619"/>
      <c r="D16" s="609"/>
      <c r="E16" s="609"/>
      <c r="F16" s="620"/>
      <c r="G16" s="620"/>
      <c r="H16" s="620"/>
      <c r="I16" s="609"/>
      <c r="J16" s="609"/>
      <c r="K16" s="609"/>
      <c r="L16" s="611" t="s">
        <v>27</v>
      </c>
      <c r="M16" s="609" t="s">
        <v>28</v>
      </c>
      <c r="N16" s="609" t="s">
        <v>29</v>
      </c>
      <c r="O16" s="609" t="s">
        <v>30</v>
      </c>
      <c r="P16" s="609" t="s">
        <v>21</v>
      </c>
      <c r="Q16" s="612" t="s">
        <v>31</v>
      </c>
      <c r="R16" s="609"/>
      <c r="S16" s="609"/>
      <c r="T16" s="613"/>
      <c r="U16" s="615"/>
      <c r="V16" s="609"/>
      <c r="W16" s="609"/>
      <c r="X16" s="610"/>
      <c r="Y16" s="3"/>
      <c r="Z16" s="3"/>
    </row>
    <row r="17" spans="1:26">
      <c r="A17" s="617"/>
      <c r="B17" s="618"/>
      <c r="C17" s="619"/>
      <c r="D17" s="609"/>
      <c r="E17" s="609"/>
      <c r="F17" s="620"/>
      <c r="G17" s="620"/>
      <c r="H17" s="620"/>
      <c r="I17" s="609"/>
      <c r="J17" s="609"/>
      <c r="K17" s="609"/>
      <c r="L17" s="611"/>
      <c r="M17" s="609"/>
      <c r="N17" s="609"/>
      <c r="O17" s="609"/>
      <c r="P17" s="609"/>
      <c r="Q17" s="612"/>
      <c r="R17" s="609"/>
      <c r="S17" s="609"/>
      <c r="T17" s="613"/>
      <c r="U17" s="615"/>
      <c r="V17" s="609"/>
      <c r="W17" s="609"/>
      <c r="X17" s="610"/>
      <c r="Y17" s="3"/>
      <c r="Z17" s="3"/>
    </row>
    <row r="18" spans="1:26">
      <c r="A18" s="617"/>
      <c r="B18" s="618"/>
      <c r="C18" s="619"/>
      <c r="D18" s="609"/>
      <c r="E18" s="609"/>
      <c r="F18" s="620"/>
      <c r="G18" s="620"/>
      <c r="H18" s="620"/>
      <c r="I18" s="609"/>
      <c r="J18" s="609"/>
      <c r="K18" s="609"/>
      <c r="L18" s="611"/>
      <c r="M18" s="609"/>
      <c r="N18" s="609"/>
      <c r="O18" s="609"/>
      <c r="P18" s="609"/>
      <c r="Q18" s="612"/>
      <c r="R18" s="609"/>
      <c r="S18" s="609"/>
      <c r="T18" s="613"/>
      <c r="U18" s="615"/>
      <c r="V18" s="609"/>
      <c r="W18" s="609"/>
      <c r="X18" s="610"/>
      <c r="Y18" s="3"/>
      <c r="Z18" s="3"/>
    </row>
    <row r="19" spans="1:26">
      <c r="A19" s="617"/>
      <c r="B19" s="618"/>
      <c r="C19" s="619"/>
      <c r="D19" s="609"/>
      <c r="E19" s="609"/>
      <c r="F19" s="620"/>
      <c r="G19" s="620"/>
      <c r="H19" s="620"/>
      <c r="I19" s="609"/>
      <c r="J19" s="609"/>
      <c r="K19" s="609"/>
      <c r="L19" s="611"/>
      <c r="M19" s="609"/>
      <c r="N19" s="609"/>
      <c r="O19" s="609"/>
      <c r="P19" s="609"/>
      <c r="Q19" s="612"/>
      <c r="R19" s="609"/>
      <c r="S19" s="609"/>
      <c r="T19" s="613"/>
      <c r="U19" s="615"/>
      <c r="V19" s="609"/>
      <c r="W19" s="609"/>
      <c r="X19" s="610"/>
      <c r="Y19" s="3"/>
      <c r="Z19" s="3"/>
    </row>
    <row r="20" spans="1:26">
      <c r="A20" s="393">
        <v>1</v>
      </c>
      <c r="B20" s="394">
        <v>2</v>
      </c>
      <c r="C20" s="394">
        <v>2</v>
      </c>
      <c r="D20" s="394">
        <v>3</v>
      </c>
      <c r="E20" s="394">
        <v>4</v>
      </c>
      <c r="F20" s="607">
        <v>6</v>
      </c>
      <c r="G20" s="608"/>
      <c r="H20" s="608"/>
      <c r="I20" s="607">
        <v>7</v>
      </c>
      <c r="J20" s="607"/>
      <c r="K20" s="607"/>
      <c r="L20" s="395">
        <v>8</v>
      </c>
      <c r="M20" s="394">
        <v>9</v>
      </c>
      <c r="N20" s="394">
        <v>10</v>
      </c>
      <c r="O20" s="394">
        <v>11</v>
      </c>
      <c r="P20" s="394">
        <v>12</v>
      </c>
      <c r="Q20" s="394">
        <v>13</v>
      </c>
      <c r="R20" s="394">
        <v>14</v>
      </c>
      <c r="S20" s="394">
        <v>15</v>
      </c>
      <c r="T20" s="394">
        <v>16</v>
      </c>
      <c r="U20" s="396">
        <v>17</v>
      </c>
      <c r="V20" s="397" t="s">
        <v>32</v>
      </c>
      <c r="W20" s="397" t="s">
        <v>33</v>
      </c>
      <c r="X20" s="246">
        <v>7</v>
      </c>
      <c r="Y20" s="5"/>
      <c r="Z20" s="5"/>
    </row>
    <row r="21" spans="1:26" ht="19.5" customHeight="1">
      <c r="A21" s="386"/>
      <c r="B21" s="386"/>
      <c r="C21" s="390" t="s">
        <v>34</v>
      </c>
      <c r="D21" s="386"/>
      <c r="E21" s="386"/>
      <c r="F21" s="386"/>
      <c r="G21" s="391"/>
      <c r="H21" s="391"/>
      <c r="I21" s="386"/>
      <c r="J21" s="386"/>
      <c r="K21" s="386"/>
      <c r="L21" s="390"/>
      <c r="M21" s="386"/>
      <c r="N21" s="386"/>
      <c r="O21" s="386"/>
      <c r="P21" s="386"/>
      <c r="Q21" s="386"/>
      <c r="R21" s="386"/>
      <c r="S21" s="386"/>
      <c r="T21" s="386"/>
      <c r="U21" s="392"/>
      <c r="V21" s="398">
        <f t="shared" ref="V21:V52" si="0">+$V$14*S21</f>
        <v>0</v>
      </c>
      <c r="W21" s="398">
        <f t="shared" ref="W21:W84" si="1">+V21*E21</f>
        <v>0</v>
      </c>
      <c r="X21" s="247"/>
      <c r="Y21" s="13"/>
      <c r="Z21" s="13"/>
    </row>
    <row r="22" spans="1:26" ht="19.5" customHeight="1">
      <c r="A22" s="521">
        <v>1</v>
      </c>
      <c r="B22" s="536" t="s">
        <v>35</v>
      </c>
      <c r="C22" s="534" t="s">
        <v>36</v>
      </c>
      <c r="D22" s="532" t="s">
        <v>37</v>
      </c>
      <c r="E22" s="532">
        <v>12.1</v>
      </c>
      <c r="F22" s="550">
        <f>0.001*8.13</f>
        <v>8.1300000000000018E-3</v>
      </c>
      <c r="G22" s="550"/>
      <c r="H22" s="550"/>
      <c r="I22" s="550">
        <f>0.001*172.87</f>
        <v>0.17287</v>
      </c>
      <c r="J22" s="550"/>
      <c r="K22" s="550"/>
      <c r="L22" s="248"/>
      <c r="M22" s="249"/>
      <c r="N22" s="250"/>
      <c r="O22" s="250"/>
      <c r="P22" s="251"/>
      <c r="Q22" s="252"/>
      <c r="R22" s="600">
        <f>F23+I23</f>
        <v>0.55711690710000006</v>
      </c>
      <c r="S22" s="600">
        <f>R22+R23</f>
        <v>0.55711690710000006</v>
      </c>
      <c r="T22" s="600">
        <f>E22*S22</f>
        <v>6.7411145759100002</v>
      </c>
      <c r="U22" s="602"/>
      <c r="V22" s="11">
        <f t="shared" si="0"/>
        <v>0.74274621785930961</v>
      </c>
      <c r="W22" s="11">
        <f t="shared" si="1"/>
        <v>8.9872292360976456</v>
      </c>
      <c r="X22" s="253"/>
      <c r="Y22" s="19"/>
      <c r="Z22" s="19"/>
    </row>
    <row r="23" spans="1:26" ht="19.5" hidden="1" customHeight="1">
      <c r="A23" s="522"/>
      <c r="B23" s="537"/>
      <c r="C23" s="535"/>
      <c r="D23" s="533"/>
      <c r="E23" s="533"/>
      <c r="F23" s="604">
        <f>F22*$J$13/1000</f>
        <v>1.9982157900000005E-2</v>
      </c>
      <c r="G23" s="605"/>
      <c r="H23" s="606"/>
      <c r="I23" s="604">
        <f>I22*$Q$13/1000</f>
        <v>0.53713474920000004</v>
      </c>
      <c r="J23" s="605"/>
      <c r="K23" s="606"/>
      <c r="L23" s="248"/>
      <c r="M23" s="249"/>
      <c r="N23" s="250"/>
      <c r="O23" s="250"/>
      <c r="P23" s="251"/>
      <c r="Q23" s="252"/>
      <c r="R23" s="601"/>
      <c r="S23" s="601"/>
      <c r="T23" s="601"/>
      <c r="U23" s="603"/>
      <c r="V23" s="11">
        <f t="shared" si="0"/>
        <v>0</v>
      </c>
      <c r="W23" s="11">
        <f t="shared" si="1"/>
        <v>0</v>
      </c>
      <c r="X23" s="253"/>
      <c r="Y23" s="19"/>
      <c r="Z23" s="19"/>
    </row>
    <row r="24" spans="1:26" ht="19.5" customHeight="1">
      <c r="A24" s="552">
        <f>+A22+1</f>
        <v>2</v>
      </c>
      <c r="B24" s="553" t="s">
        <v>38</v>
      </c>
      <c r="C24" s="554" t="s">
        <v>39</v>
      </c>
      <c r="D24" s="555" t="s">
        <v>37</v>
      </c>
      <c r="E24" s="555">
        <v>30.1</v>
      </c>
      <c r="F24" s="550">
        <f>0.001*10.6</f>
        <v>1.06E-2</v>
      </c>
      <c r="G24" s="550"/>
      <c r="H24" s="550"/>
      <c r="I24" s="550">
        <f>0.001*224.4</f>
        <v>0.22440000000000002</v>
      </c>
      <c r="J24" s="550"/>
      <c r="K24" s="550"/>
      <c r="L24" s="248"/>
      <c r="M24" s="248"/>
      <c r="N24" s="248"/>
      <c r="O24" s="248"/>
      <c r="P24" s="251"/>
      <c r="Q24" s="251"/>
      <c r="R24" s="549">
        <f>F25+I25</f>
        <v>0.72329970200000004</v>
      </c>
      <c r="S24" s="549">
        <f>R24+R25</f>
        <v>0.72329970200000004</v>
      </c>
      <c r="T24" s="549">
        <f>E24*S24</f>
        <v>21.771321030200003</v>
      </c>
      <c r="U24" s="586"/>
      <c r="V24" s="11">
        <f t="shared" si="0"/>
        <v>0.9643005107056204</v>
      </c>
      <c r="W24" s="11">
        <f t="shared" si="1"/>
        <v>29.025445372239176</v>
      </c>
      <c r="X24" s="254"/>
      <c r="Y24" s="27"/>
      <c r="Z24" s="27"/>
    </row>
    <row r="25" spans="1:26" ht="19.5" hidden="1" customHeight="1">
      <c r="A25" s="552"/>
      <c r="B25" s="553"/>
      <c r="C25" s="554"/>
      <c r="D25" s="555"/>
      <c r="E25" s="555"/>
      <c r="F25" s="550">
        <f>F24*$J$13/1000</f>
        <v>2.6052997999999997E-2</v>
      </c>
      <c r="G25" s="550"/>
      <c r="H25" s="550"/>
      <c r="I25" s="550">
        <f>I24*$Q$13/1000</f>
        <v>0.69724670399999999</v>
      </c>
      <c r="J25" s="550"/>
      <c r="K25" s="550"/>
      <c r="L25" s="248"/>
      <c r="M25" s="248"/>
      <c r="N25" s="248"/>
      <c r="O25" s="248"/>
      <c r="P25" s="251"/>
      <c r="Q25" s="251"/>
      <c r="R25" s="549"/>
      <c r="S25" s="549"/>
      <c r="T25" s="549"/>
      <c r="U25" s="586"/>
      <c r="V25" s="11">
        <f t="shared" si="0"/>
        <v>0</v>
      </c>
      <c r="W25" s="11">
        <f t="shared" si="1"/>
        <v>0</v>
      </c>
      <c r="X25" s="254"/>
      <c r="Y25" s="27"/>
      <c r="Z25" s="27"/>
    </row>
    <row r="26" spans="1:26" ht="19.5" customHeight="1">
      <c r="A26" s="552">
        <f>+A24+1</f>
        <v>3</v>
      </c>
      <c r="B26" s="553" t="s">
        <v>40</v>
      </c>
      <c r="C26" s="554" t="s">
        <v>41</v>
      </c>
      <c r="D26" s="555" t="s">
        <v>37</v>
      </c>
      <c r="E26" s="555">
        <v>16.100000000000001</v>
      </c>
      <c r="F26" s="550">
        <f>0.001*14.3</f>
        <v>1.43E-2</v>
      </c>
      <c r="G26" s="550"/>
      <c r="H26" s="550"/>
      <c r="I26" s="550">
        <f>0.001*302.7</f>
        <v>0.30269999999999997</v>
      </c>
      <c r="J26" s="550"/>
      <c r="K26" s="550"/>
      <c r="L26" s="248"/>
      <c r="M26" s="248"/>
      <c r="N26" s="248"/>
      <c r="O26" s="248"/>
      <c r="P26" s="251"/>
      <c r="Q26" s="251"/>
      <c r="R26" s="549">
        <f>F27+I27</f>
        <v>0.97568430099999992</v>
      </c>
      <c r="S26" s="549">
        <f>R26+R27</f>
        <v>0.97568430099999992</v>
      </c>
      <c r="T26" s="549">
        <f>E26*S26</f>
        <v>15.7085172461</v>
      </c>
      <c r="U26" s="586"/>
      <c r="V26" s="11">
        <f t="shared" si="0"/>
        <v>1.3007787327164642</v>
      </c>
      <c r="W26" s="11">
        <f t="shared" si="1"/>
        <v>20.942537596735075</v>
      </c>
      <c r="X26" s="254"/>
      <c r="Y26" s="27"/>
      <c r="Z26" s="27"/>
    </row>
    <row r="27" spans="1:26" ht="19.5" hidden="1" customHeight="1">
      <c r="A27" s="552"/>
      <c r="B27" s="553"/>
      <c r="C27" s="554"/>
      <c r="D27" s="555"/>
      <c r="E27" s="555"/>
      <c r="F27" s="550">
        <f>F26*$J$13/1000</f>
        <v>3.5146969E-2</v>
      </c>
      <c r="G27" s="550"/>
      <c r="H27" s="550"/>
      <c r="I27" s="550">
        <f>I26*$Q$13/1000</f>
        <v>0.94053733199999989</v>
      </c>
      <c r="J27" s="550"/>
      <c r="K27" s="550"/>
      <c r="L27" s="248"/>
      <c r="M27" s="248"/>
      <c r="N27" s="248"/>
      <c r="O27" s="248"/>
      <c r="P27" s="251"/>
      <c r="Q27" s="251"/>
      <c r="R27" s="549"/>
      <c r="S27" s="549"/>
      <c r="T27" s="549"/>
      <c r="U27" s="586"/>
      <c r="V27" s="11">
        <f t="shared" si="0"/>
        <v>0</v>
      </c>
      <c r="W27" s="11">
        <f t="shared" si="1"/>
        <v>0</v>
      </c>
      <c r="X27" s="254"/>
      <c r="Y27" s="27"/>
      <c r="Z27" s="27"/>
    </row>
    <row r="28" spans="1:26" ht="19.5" customHeight="1">
      <c r="A28" s="552">
        <f>+A26+1</f>
        <v>4</v>
      </c>
      <c r="B28" s="553" t="s">
        <v>42</v>
      </c>
      <c r="C28" s="554" t="s">
        <v>43</v>
      </c>
      <c r="D28" s="555" t="s">
        <v>37</v>
      </c>
      <c r="E28" s="555">
        <v>2</v>
      </c>
      <c r="F28" s="550">
        <f>0.01*327</f>
        <v>3.27</v>
      </c>
      <c r="G28" s="550"/>
      <c r="H28" s="550"/>
      <c r="I28" s="550">
        <f>0.01*381</f>
        <v>3.81</v>
      </c>
      <c r="J28" s="550"/>
      <c r="K28" s="550"/>
      <c r="L28" s="248"/>
      <c r="M28" s="248"/>
      <c r="N28" s="248"/>
      <c r="O28" s="248"/>
      <c r="P28" s="251"/>
      <c r="Q28" s="251"/>
      <c r="R28" s="549">
        <f>F29+I29</f>
        <v>19.8753837</v>
      </c>
      <c r="S28" s="549">
        <f>R28+R29</f>
        <v>19.8753837</v>
      </c>
      <c r="T28" s="549">
        <f>E28*S28</f>
        <v>39.750767400000001</v>
      </c>
      <c r="U28" s="586"/>
      <c r="V28" s="11">
        <f t="shared" si="0"/>
        <v>26.497788675129527</v>
      </c>
      <c r="W28" s="11">
        <f t="shared" si="1"/>
        <v>52.995577350259055</v>
      </c>
      <c r="X28" s="254"/>
      <c r="Y28" s="27"/>
      <c r="Z28" s="27"/>
    </row>
    <row r="29" spans="1:26" ht="19.5" hidden="1" customHeight="1">
      <c r="A29" s="552"/>
      <c r="B29" s="553"/>
      <c r="C29" s="554"/>
      <c r="D29" s="555"/>
      <c r="E29" s="555"/>
      <c r="F29" s="550">
        <f>F28*$J$13/1000</f>
        <v>8.0371040999999988</v>
      </c>
      <c r="G29" s="550"/>
      <c r="H29" s="550"/>
      <c r="I29" s="550">
        <f>I28*$Q$13/1000</f>
        <v>11.8382796</v>
      </c>
      <c r="J29" s="550"/>
      <c r="K29" s="550"/>
      <c r="L29" s="248"/>
      <c r="M29" s="248"/>
      <c r="N29" s="248"/>
      <c r="O29" s="248"/>
      <c r="P29" s="251"/>
      <c r="Q29" s="251"/>
      <c r="R29" s="549"/>
      <c r="S29" s="549"/>
      <c r="T29" s="549"/>
      <c r="U29" s="586"/>
      <c r="V29" s="11">
        <f t="shared" si="0"/>
        <v>0</v>
      </c>
      <c r="W29" s="11">
        <f t="shared" si="1"/>
        <v>0</v>
      </c>
      <c r="X29" s="254"/>
      <c r="Y29" s="27"/>
      <c r="Z29" s="27"/>
    </row>
    <row r="30" spans="1:26" ht="28.5" customHeight="1">
      <c r="A30" s="552">
        <f t="shared" ref="A30" si="2">+A28+1</f>
        <v>5</v>
      </c>
      <c r="B30" s="553" t="s">
        <v>44</v>
      </c>
      <c r="C30" s="554" t="s">
        <v>45</v>
      </c>
      <c r="D30" s="555" t="s">
        <v>37</v>
      </c>
      <c r="E30" s="556">
        <v>24</v>
      </c>
      <c r="F30" s="599">
        <f>0.001*6.53</f>
        <v>6.5300000000000002E-3</v>
      </c>
      <c r="G30" s="599"/>
      <c r="H30" s="599"/>
      <c r="I30" s="550">
        <f>0.001*138.47</f>
        <v>0.13847000000000001</v>
      </c>
      <c r="J30" s="550"/>
      <c r="K30" s="550"/>
      <c r="L30" s="248"/>
      <c r="M30" s="249"/>
      <c r="N30" s="250"/>
      <c r="O30" s="250"/>
      <c r="P30" s="250"/>
      <c r="Q30" s="34"/>
      <c r="R30" s="34">
        <f>F31+I31</f>
        <v>0.44629807509999997</v>
      </c>
      <c r="S30" s="549">
        <f>R30+R31</f>
        <v>2.8024980751000004</v>
      </c>
      <c r="T30" s="549">
        <f>E30*S30</f>
        <v>67.259953802400005</v>
      </c>
      <c r="U30" s="549">
        <f>E30*Q31</f>
        <v>56.548800000000007</v>
      </c>
      <c r="V30" s="11">
        <f t="shared" si="0"/>
        <v>3.7362801582772507</v>
      </c>
      <c r="W30" s="11">
        <f t="shared" si="1"/>
        <v>89.670723798654024</v>
      </c>
      <c r="X30" s="253"/>
      <c r="Y30" s="19"/>
      <c r="Z30" s="19"/>
    </row>
    <row r="31" spans="1:26" ht="19.5" hidden="1" customHeight="1">
      <c r="A31" s="552"/>
      <c r="B31" s="553"/>
      <c r="C31" s="554"/>
      <c r="D31" s="555"/>
      <c r="E31" s="556"/>
      <c r="F31" s="550">
        <f>F30*$J$13/1000</f>
        <v>1.6049629900000001E-2</v>
      </c>
      <c r="G31" s="550"/>
      <c r="H31" s="550"/>
      <c r="I31" s="550">
        <f>I30*$Q$13/1000</f>
        <v>0.4302484452</v>
      </c>
      <c r="J31" s="550"/>
      <c r="K31" s="550"/>
      <c r="L31" s="255" t="s">
        <v>46</v>
      </c>
      <c r="M31" s="249" t="s">
        <v>37</v>
      </c>
      <c r="N31" s="34">
        <v>1.1000000000000001</v>
      </c>
      <c r="O31" s="250">
        <f>E30*N31</f>
        <v>26.400000000000002</v>
      </c>
      <c r="P31" s="256">
        <v>2</v>
      </c>
      <c r="Q31" s="58">
        <f>N31*P31*1.02*1.05</f>
        <v>2.3562000000000003</v>
      </c>
      <c r="R31" s="34">
        <f>SUM(Q31:Q31)</f>
        <v>2.3562000000000003</v>
      </c>
      <c r="S31" s="549"/>
      <c r="T31" s="549"/>
      <c r="U31" s="549"/>
      <c r="V31" s="11">
        <f t="shared" si="0"/>
        <v>0</v>
      </c>
      <c r="W31" s="11">
        <f t="shared" si="1"/>
        <v>0</v>
      </c>
      <c r="X31" s="253"/>
      <c r="Y31" s="19"/>
      <c r="Z31" s="19"/>
    </row>
    <row r="32" spans="1:26" ht="19.5" customHeight="1">
      <c r="A32" s="552">
        <f t="shared" ref="A32" si="3">+A30+1</f>
        <v>6</v>
      </c>
      <c r="B32" s="553" t="s">
        <v>47</v>
      </c>
      <c r="C32" s="554" t="s">
        <v>48</v>
      </c>
      <c r="D32" s="555" t="s">
        <v>49</v>
      </c>
      <c r="E32" s="555">
        <f>+E30*1.6</f>
        <v>38.400000000000006</v>
      </c>
      <c r="F32" s="550"/>
      <c r="G32" s="550"/>
      <c r="H32" s="550"/>
      <c r="I32" s="550">
        <v>0.39</v>
      </c>
      <c r="J32" s="550"/>
      <c r="K32" s="550"/>
      <c r="L32" s="248"/>
      <c r="M32" s="249"/>
      <c r="N32" s="250"/>
      <c r="O32" s="250"/>
      <c r="P32" s="251"/>
      <c r="Q32" s="34"/>
      <c r="R32" s="549">
        <f>+F33+I33</f>
        <v>1.2117924</v>
      </c>
      <c r="S32" s="549">
        <f>R32+R33</f>
        <v>1.2117924</v>
      </c>
      <c r="T32" s="549">
        <f>E32*S32</f>
        <v>46.532828160000008</v>
      </c>
      <c r="U32" s="596"/>
      <c r="V32" s="11">
        <f t="shared" si="0"/>
        <v>1.6155571846055998</v>
      </c>
      <c r="W32" s="11">
        <f t="shared" si="1"/>
        <v>62.037395888855045</v>
      </c>
      <c r="X32" s="254"/>
      <c r="Y32" s="27"/>
      <c r="Z32" s="27"/>
    </row>
    <row r="33" spans="1:26" ht="19.5" hidden="1" customHeight="1">
      <c r="A33" s="552"/>
      <c r="B33" s="553"/>
      <c r="C33" s="554"/>
      <c r="D33" s="555"/>
      <c r="E33" s="555"/>
      <c r="F33" s="551"/>
      <c r="G33" s="551"/>
      <c r="H33" s="551"/>
      <c r="I33" s="550">
        <f>I32*$Q$13/1000</f>
        <v>1.2117924</v>
      </c>
      <c r="J33" s="550"/>
      <c r="K33" s="550"/>
      <c r="L33" s="248"/>
      <c r="M33" s="249"/>
      <c r="N33" s="250"/>
      <c r="O33" s="250"/>
      <c r="P33" s="251"/>
      <c r="Q33" s="34"/>
      <c r="R33" s="549"/>
      <c r="S33" s="549"/>
      <c r="T33" s="549"/>
      <c r="U33" s="596"/>
      <c r="V33" s="11">
        <f t="shared" si="0"/>
        <v>0</v>
      </c>
      <c r="W33" s="11">
        <f t="shared" si="1"/>
        <v>0</v>
      </c>
      <c r="X33" s="254"/>
      <c r="Y33" s="27"/>
      <c r="Z33" s="27"/>
    </row>
    <row r="34" spans="1:26" ht="19.5" customHeight="1">
      <c r="A34" s="552">
        <f>+A32+1</f>
        <v>7</v>
      </c>
      <c r="B34" s="553" t="s">
        <v>50</v>
      </c>
      <c r="C34" s="554" t="s">
        <v>51</v>
      </c>
      <c r="D34" s="555" t="s">
        <v>37</v>
      </c>
      <c r="E34" s="555">
        <v>35.5</v>
      </c>
      <c r="F34" s="548"/>
      <c r="G34" s="548"/>
      <c r="H34" s="548"/>
      <c r="I34" s="550">
        <f>0.001*25</f>
        <v>2.5000000000000001E-2</v>
      </c>
      <c r="J34" s="550"/>
      <c r="K34" s="550"/>
      <c r="L34" s="248"/>
      <c r="M34" s="249"/>
      <c r="N34" s="250"/>
      <c r="O34" s="250"/>
      <c r="P34" s="251"/>
      <c r="Q34" s="252"/>
      <c r="R34" s="549">
        <f>F35+I35</f>
        <v>7.7678999999999998E-2</v>
      </c>
      <c r="S34" s="549">
        <f>R34+R35</f>
        <v>7.7678999999999998E-2</v>
      </c>
      <c r="T34" s="549">
        <f>E34*S34</f>
        <v>2.7576044999999998</v>
      </c>
      <c r="U34" s="596"/>
      <c r="V34" s="11">
        <f t="shared" si="0"/>
        <v>0.10356135798753845</v>
      </c>
      <c r="W34" s="11">
        <f t="shared" si="1"/>
        <v>3.6764282085576148</v>
      </c>
      <c r="X34" s="254"/>
      <c r="Y34" s="27"/>
      <c r="Z34" s="27"/>
    </row>
    <row r="35" spans="1:26" ht="19.5" hidden="1" customHeight="1">
      <c r="A35" s="552"/>
      <c r="B35" s="553"/>
      <c r="C35" s="554"/>
      <c r="D35" s="555"/>
      <c r="E35" s="555"/>
      <c r="F35" s="548"/>
      <c r="G35" s="548"/>
      <c r="H35" s="548"/>
      <c r="I35" s="550">
        <f>I34*$Q$13/1000</f>
        <v>7.7678999999999998E-2</v>
      </c>
      <c r="J35" s="550"/>
      <c r="K35" s="550"/>
      <c r="L35" s="248"/>
      <c r="M35" s="249"/>
      <c r="N35" s="250"/>
      <c r="O35" s="250"/>
      <c r="P35" s="251"/>
      <c r="Q35" s="252"/>
      <c r="R35" s="549"/>
      <c r="S35" s="549"/>
      <c r="T35" s="549"/>
      <c r="U35" s="596"/>
      <c r="V35" s="11">
        <f t="shared" si="0"/>
        <v>0</v>
      </c>
      <c r="W35" s="11">
        <f t="shared" si="1"/>
        <v>0</v>
      </c>
      <c r="X35" s="254"/>
      <c r="Y35" s="27"/>
      <c r="Z35" s="27"/>
    </row>
    <row r="36" spans="1:26" ht="19.5" customHeight="1">
      <c r="A36" s="552">
        <f>+A34+1</f>
        <v>8</v>
      </c>
      <c r="B36" s="553" t="s">
        <v>52</v>
      </c>
      <c r="C36" s="554" t="s">
        <v>53</v>
      </c>
      <c r="D36" s="555" t="s">
        <v>37</v>
      </c>
      <c r="E36" s="598">
        <v>24.8</v>
      </c>
      <c r="F36" s="550">
        <f>0.001*9.86</f>
        <v>9.859999999999999E-3</v>
      </c>
      <c r="G36" s="550"/>
      <c r="H36" s="550"/>
      <c r="I36" s="550">
        <f>0.001*210.8</f>
        <v>0.21080000000000002</v>
      </c>
      <c r="J36" s="550"/>
      <c r="K36" s="550"/>
      <c r="L36" s="248"/>
      <c r="M36" s="249"/>
      <c r="N36" s="250"/>
      <c r="O36" s="250"/>
      <c r="P36" s="251"/>
      <c r="Q36" s="252"/>
      <c r="R36" s="549">
        <f>F37+I37</f>
        <v>0.67922353179999995</v>
      </c>
      <c r="S36" s="549">
        <f>R36+R37</f>
        <v>0.67922353179999995</v>
      </c>
      <c r="T36" s="549">
        <f>E36*S36</f>
        <v>16.84474358864</v>
      </c>
      <c r="U36" s="586">
        <f>E36*Q37</f>
        <v>0</v>
      </c>
      <c r="V36" s="11">
        <f t="shared" si="0"/>
        <v>0.90553832220162467</v>
      </c>
      <c r="W36" s="11">
        <f t="shared" si="1"/>
        <v>22.457350390600293</v>
      </c>
      <c r="X36" s="257"/>
      <c r="Y36" s="50"/>
      <c r="Z36" s="51"/>
    </row>
    <row r="37" spans="1:26" ht="19.5" hidden="1" customHeight="1">
      <c r="A37" s="552"/>
      <c r="B37" s="553"/>
      <c r="C37" s="554"/>
      <c r="D37" s="555"/>
      <c r="E37" s="598"/>
      <c r="F37" s="550">
        <f>F36*$J$13/1000</f>
        <v>2.4234203799999996E-2</v>
      </c>
      <c r="G37" s="550"/>
      <c r="H37" s="550"/>
      <c r="I37" s="550">
        <f>I36*$Q$13/1000</f>
        <v>0.65498932799999998</v>
      </c>
      <c r="J37" s="550"/>
      <c r="K37" s="550"/>
      <c r="L37" s="248"/>
      <c r="M37" s="249"/>
      <c r="N37" s="250"/>
      <c r="O37" s="250"/>
      <c r="P37" s="251"/>
      <c r="Q37" s="252"/>
      <c r="R37" s="549"/>
      <c r="S37" s="549"/>
      <c r="T37" s="549"/>
      <c r="U37" s="586"/>
      <c r="V37" s="11">
        <f t="shared" si="0"/>
        <v>0</v>
      </c>
      <c r="W37" s="11">
        <f t="shared" si="1"/>
        <v>0</v>
      </c>
      <c r="X37" s="257"/>
      <c r="Y37" s="50"/>
      <c r="Z37" s="51"/>
    </row>
    <row r="38" spans="1:26" ht="19.5" customHeight="1">
      <c r="A38" s="552">
        <f t="shared" ref="A38" si="4">+A36+1</f>
        <v>9</v>
      </c>
      <c r="B38" s="553" t="s">
        <v>47</v>
      </c>
      <c r="C38" s="554" t="s">
        <v>54</v>
      </c>
      <c r="D38" s="555" t="s">
        <v>49</v>
      </c>
      <c r="E38" s="597">
        <v>67</v>
      </c>
      <c r="F38" s="550"/>
      <c r="G38" s="550"/>
      <c r="H38" s="550"/>
      <c r="I38" s="550">
        <v>0.39</v>
      </c>
      <c r="J38" s="550"/>
      <c r="K38" s="550"/>
      <c r="L38" s="248"/>
      <c r="M38" s="249"/>
      <c r="N38" s="250"/>
      <c r="O38" s="250"/>
      <c r="P38" s="251"/>
      <c r="Q38" s="34"/>
      <c r="R38" s="549">
        <f>+F39+I39</f>
        <v>1.2117924</v>
      </c>
      <c r="S38" s="549">
        <f>R38+R39</f>
        <v>1.2117924</v>
      </c>
      <c r="T38" s="549">
        <f>E38*S38</f>
        <v>81.190090799999993</v>
      </c>
      <c r="U38" s="596"/>
      <c r="V38" s="11">
        <f t="shared" si="0"/>
        <v>1.6155571846055998</v>
      </c>
      <c r="W38" s="11">
        <f t="shared" si="1"/>
        <v>108.24233136857519</v>
      </c>
      <c r="X38" s="254"/>
      <c r="Y38" s="202"/>
      <c r="Z38" s="49"/>
    </row>
    <row r="39" spans="1:26" ht="19.5" hidden="1" customHeight="1">
      <c r="A39" s="552"/>
      <c r="B39" s="553"/>
      <c r="C39" s="554"/>
      <c r="D39" s="555"/>
      <c r="E39" s="597"/>
      <c r="F39" s="551"/>
      <c r="G39" s="551"/>
      <c r="H39" s="551"/>
      <c r="I39" s="550">
        <f>I38*$Q$13/1000</f>
        <v>1.2117924</v>
      </c>
      <c r="J39" s="550"/>
      <c r="K39" s="550"/>
      <c r="L39" s="248"/>
      <c r="M39" s="249"/>
      <c r="N39" s="250"/>
      <c r="O39" s="250"/>
      <c r="P39" s="251"/>
      <c r="Q39" s="34"/>
      <c r="R39" s="549"/>
      <c r="S39" s="549"/>
      <c r="T39" s="549"/>
      <c r="U39" s="596"/>
      <c r="V39" s="11">
        <f t="shared" si="0"/>
        <v>0</v>
      </c>
      <c r="W39" s="11">
        <f t="shared" si="1"/>
        <v>0</v>
      </c>
      <c r="X39" s="254"/>
      <c r="Y39" s="202"/>
      <c r="Z39" s="49"/>
    </row>
    <row r="40" spans="1:26" ht="19.5" customHeight="1">
      <c r="A40" s="540">
        <f>+A38+1</f>
        <v>10</v>
      </c>
      <c r="B40" s="541" t="s">
        <v>55</v>
      </c>
      <c r="C40" s="542" t="s">
        <v>180</v>
      </c>
      <c r="D40" s="543" t="s">
        <v>56</v>
      </c>
      <c r="E40" s="564">
        <v>29</v>
      </c>
      <c r="F40" s="538">
        <v>0.27</v>
      </c>
      <c r="G40" s="538"/>
      <c r="H40" s="538"/>
      <c r="I40" s="538">
        <v>0.17</v>
      </c>
      <c r="J40" s="538"/>
      <c r="K40" s="538"/>
      <c r="L40" s="258"/>
      <c r="M40" s="259"/>
      <c r="N40" s="260"/>
      <c r="O40" s="260"/>
      <c r="P40" s="261"/>
      <c r="Q40" s="262"/>
      <c r="R40" s="58">
        <f>F41+I41</f>
        <v>1.1918313</v>
      </c>
      <c r="S40" s="538">
        <f>R40+R41</f>
        <v>4.6176604200000009</v>
      </c>
      <c r="T40" s="538">
        <f>E40*S40</f>
        <v>133.91215218000002</v>
      </c>
      <c r="U40" s="547">
        <f>E40*R41</f>
        <v>99.349044480000018</v>
      </c>
      <c r="V40" s="11">
        <f t="shared" si="0"/>
        <v>6.1562479411489237</v>
      </c>
      <c r="W40" s="11">
        <f t="shared" si="1"/>
        <v>178.53119029331879</v>
      </c>
      <c r="X40" s="263"/>
      <c r="Y40" s="60"/>
      <c r="Z40" s="61"/>
    </row>
    <row r="41" spans="1:26" ht="19.5" hidden="1" customHeight="1">
      <c r="A41" s="540"/>
      <c r="B41" s="541"/>
      <c r="C41" s="542"/>
      <c r="D41" s="543"/>
      <c r="E41" s="564"/>
      <c r="F41" s="538">
        <f>F40*$J$13/1000</f>
        <v>0.66361409999999998</v>
      </c>
      <c r="G41" s="538"/>
      <c r="H41" s="538"/>
      <c r="I41" s="538">
        <f>I40*$Q$13/1000</f>
        <v>0.52821720000000005</v>
      </c>
      <c r="J41" s="538"/>
      <c r="K41" s="538"/>
      <c r="L41" s="264" t="s">
        <v>57</v>
      </c>
      <c r="M41" s="259" t="s">
        <v>56</v>
      </c>
      <c r="N41" s="58">
        <v>1</v>
      </c>
      <c r="O41" s="260">
        <f>E40*N41</f>
        <v>29</v>
      </c>
      <c r="P41" s="265">
        <v>2.94</v>
      </c>
      <c r="Q41" s="58">
        <f>N41*P41*$N$11</f>
        <v>3.4258291200000008</v>
      </c>
      <c r="R41" s="58">
        <f>SUM(Q41:Q41)</f>
        <v>3.4258291200000008</v>
      </c>
      <c r="S41" s="538"/>
      <c r="T41" s="538"/>
      <c r="U41" s="547"/>
      <c r="V41" s="11">
        <f t="shared" si="0"/>
        <v>0</v>
      </c>
      <c r="W41" s="11">
        <f t="shared" si="1"/>
        <v>0</v>
      </c>
      <c r="X41" s="263"/>
      <c r="Y41" s="61"/>
      <c r="Z41" s="61"/>
    </row>
    <row r="42" spans="1:26" ht="26.25" customHeight="1">
      <c r="A42" s="540">
        <f>+A40+1</f>
        <v>11</v>
      </c>
      <c r="B42" s="541" t="s">
        <v>58</v>
      </c>
      <c r="C42" s="542" t="s">
        <v>59</v>
      </c>
      <c r="D42" s="543" t="s">
        <v>56</v>
      </c>
      <c r="E42" s="564">
        <f>+E40</f>
        <v>29</v>
      </c>
      <c r="F42" s="546">
        <v>0.06</v>
      </c>
      <c r="G42" s="546"/>
      <c r="H42" s="546"/>
      <c r="I42" s="546">
        <v>0.05</v>
      </c>
      <c r="J42" s="546"/>
      <c r="K42" s="546"/>
      <c r="L42" s="266"/>
      <c r="M42" s="259"/>
      <c r="N42" s="267"/>
      <c r="O42" s="260"/>
      <c r="P42" s="268"/>
      <c r="Q42" s="58"/>
      <c r="R42" s="58">
        <f>F43+I43</f>
        <v>0.30282779999999998</v>
      </c>
      <c r="S42" s="538">
        <f>R42+R43</f>
        <v>4.8846878083200025</v>
      </c>
      <c r="T42" s="538">
        <f>E42*S42</f>
        <v>141.65594644128007</v>
      </c>
      <c r="U42" s="547">
        <f>E42*R43</f>
        <v>132.87394024128005</v>
      </c>
      <c r="V42" s="11">
        <f t="shared" si="0"/>
        <v>6.5122478761929532</v>
      </c>
      <c r="W42" s="11">
        <f t="shared" si="1"/>
        <v>188.85518840959566</v>
      </c>
      <c r="X42" s="269"/>
      <c r="Y42" s="59"/>
      <c r="Z42" s="59"/>
    </row>
    <row r="43" spans="1:26" ht="19.5" hidden="1" customHeight="1">
      <c r="A43" s="540"/>
      <c r="B43" s="541"/>
      <c r="C43" s="542"/>
      <c r="D43" s="543"/>
      <c r="E43" s="564"/>
      <c r="F43" s="538">
        <f>F42*$J$13/1000</f>
        <v>0.14746979999999998</v>
      </c>
      <c r="G43" s="538"/>
      <c r="H43" s="538"/>
      <c r="I43" s="538">
        <f>I42*$Q$13/1000</f>
        <v>0.155358</v>
      </c>
      <c r="J43" s="538"/>
      <c r="K43" s="538"/>
      <c r="L43" s="264" t="s">
        <v>60</v>
      </c>
      <c r="M43" s="259" t="s">
        <v>61</v>
      </c>
      <c r="N43" s="270">
        <v>1.1779999999999999</v>
      </c>
      <c r="O43" s="260">
        <f>E42*N43</f>
        <v>34.161999999999999</v>
      </c>
      <c r="P43" s="271">
        <f>2.124/1.2</f>
        <v>1.7700000000000002</v>
      </c>
      <c r="Q43" s="58">
        <f>N43*P43*$N$11</f>
        <v>2.429611994880001</v>
      </c>
      <c r="R43" s="538">
        <f>SUM(Q43:Q45)</f>
        <v>4.5818600083200023</v>
      </c>
      <c r="S43" s="538"/>
      <c r="T43" s="538"/>
      <c r="U43" s="547"/>
      <c r="V43" s="11">
        <f t="shared" si="0"/>
        <v>0</v>
      </c>
      <c r="W43" s="11">
        <f t="shared" si="1"/>
        <v>0</v>
      </c>
      <c r="X43" s="269"/>
      <c r="Y43" s="59"/>
      <c r="Z43" s="59"/>
    </row>
    <row r="44" spans="1:26" ht="19.5" hidden="1" customHeight="1">
      <c r="A44" s="540"/>
      <c r="B44" s="541"/>
      <c r="C44" s="542"/>
      <c r="D44" s="543"/>
      <c r="E44" s="564"/>
      <c r="F44" s="538"/>
      <c r="G44" s="538"/>
      <c r="H44" s="538"/>
      <c r="I44" s="538"/>
      <c r="J44" s="538"/>
      <c r="K44" s="538"/>
      <c r="L44" s="264" t="s">
        <v>62</v>
      </c>
      <c r="M44" s="259" t="s">
        <v>61</v>
      </c>
      <c r="N44" s="270">
        <v>0.755</v>
      </c>
      <c r="O44" s="260">
        <f>E42*N44</f>
        <v>21.895</v>
      </c>
      <c r="P44" s="271">
        <f>2.844/1.2</f>
        <v>2.37</v>
      </c>
      <c r="Q44" s="58">
        <f>N44*P44*$N$11</f>
        <v>2.0850365088000005</v>
      </c>
      <c r="R44" s="538"/>
      <c r="S44" s="538"/>
      <c r="T44" s="538"/>
      <c r="U44" s="547"/>
      <c r="V44" s="11">
        <f t="shared" si="0"/>
        <v>0</v>
      </c>
      <c r="W44" s="11">
        <f t="shared" si="1"/>
        <v>0</v>
      </c>
      <c r="X44" s="269"/>
      <c r="Y44" s="61"/>
      <c r="Z44" s="61"/>
    </row>
    <row r="45" spans="1:26" ht="19.5" hidden="1" customHeight="1">
      <c r="A45" s="540"/>
      <c r="B45" s="541"/>
      <c r="C45" s="542"/>
      <c r="D45" s="543"/>
      <c r="E45" s="564"/>
      <c r="F45" s="538"/>
      <c r="G45" s="538"/>
      <c r="H45" s="538"/>
      <c r="I45" s="538"/>
      <c r="J45" s="538"/>
      <c r="K45" s="538"/>
      <c r="L45" s="264" t="s">
        <v>63</v>
      </c>
      <c r="M45" s="259" t="s">
        <v>61</v>
      </c>
      <c r="N45" s="270">
        <v>5.6000000000000001E-2</v>
      </c>
      <c r="O45" s="260">
        <f>E42*N45</f>
        <v>1.6240000000000001</v>
      </c>
      <c r="P45" s="271">
        <f>1.236/1.2</f>
        <v>1.03</v>
      </c>
      <c r="Q45" s="58">
        <f>N45*P45*$N$11</f>
        <v>6.7211504640000017E-2</v>
      </c>
      <c r="R45" s="538"/>
      <c r="S45" s="538"/>
      <c r="T45" s="538"/>
      <c r="U45" s="547"/>
      <c r="V45" s="11">
        <f t="shared" si="0"/>
        <v>0</v>
      </c>
      <c r="W45" s="11">
        <f t="shared" si="1"/>
        <v>0</v>
      </c>
      <c r="X45" s="269"/>
      <c r="Y45" s="61"/>
      <c r="Z45" s="61"/>
    </row>
    <row r="46" spans="1:26" ht="22.5" customHeight="1">
      <c r="A46" s="540">
        <f>+A42+1</f>
        <v>12</v>
      </c>
      <c r="B46" s="541" t="s">
        <v>64</v>
      </c>
      <c r="C46" s="542" t="s">
        <v>181</v>
      </c>
      <c r="D46" s="543" t="s">
        <v>56</v>
      </c>
      <c r="E46" s="564">
        <v>57</v>
      </c>
      <c r="F46" s="538">
        <v>0.28000000000000003</v>
      </c>
      <c r="G46" s="538"/>
      <c r="H46" s="538"/>
      <c r="I46" s="538">
        <v>0.18</v>
      </c>
      <c r="J46" s="538"/>
      <c r="K46" s="538"/>
      <c r="L46" s="258"/>
      <c r="M46" s="259"/>
      <c r="N46" s="260"/>
      <c r="O46" s="260"/>
      <c r="P46" s="261"/>
      <c r="Q46" s="262"/>
      <c r="R46" s="58">
        <f>F47+I47</f>
        <v>1.2474812</v>
      </c>
      <c r="S46" s="538">
        <f>R46+R47</f>
        <v>5.4074165600000006</v>
      </c>
      <c r="T46" s="538">
        <f>E46*S46</f>
        <v>308.22274392000003</v>
      </c>
      <c r="U46" s="547">
        <f>E46*R47</f>
        <v>237.11631552000003</v>
      </c>
      <c r="V46" s="11">
        <f t="shared" si="0"/>
        <v>7.2091479313315538</v>
      </c>
      <c r="W46" s="11">
        <f t="shared" si="1"/>
        <v>410.92143208589857</v>
      </c>
      <c r="X46" s="263"/>
      <c r="Y46" s="60"/>
      <c r="Z46" s="61"/>
    </row>
    <row r="47" spans="1:26" ht="19.5" hidden="1" customHeight="1">
      <c r="A47" s="540"/>
      <c r="B47" s="541"/>
      <c r="C47" s="542"/>
      <c r="D47" s="543"/>
      <c r="E47" s="564"/>
      <c r="F47" s="538">
        <f>F46*$J$13/1000</f>
        <v>0.68819240000000004</v>
      </c>
      <c r="G47" s="538"/>
      <c r="H47" s="538"/>
      <c r="I47" s="538">
        <f>I46*$Q$13/1000</f>
        <v>0.55928879999999992</v>
      </c>
      <c r="J47" s="538"/>
      <c r="K47" s="538"/>
      <c r="L47" s="264" t="s">
        <v>65</v>
      </c>
      <c r="M47" s="259" t="s">
        <v>56</v>
      </c>
      <c r="N47" s="58">
        <v>1</v>
      </c>
      <c r="O47" s="260">
        <f>E46*N47</f>
        <v>57</v>
      </c>
      <c r="P47" s="265">
        <v>3.57</v>
      </c>
      <c r="Q47" s="58">
        <f>N47*P47*$N$11</f>
        <v>4.1599353600000004</v>
      </c>
      <c r="R47" s="58">
        <f>SUM(Q47:Q47)</f>
        <v>4.1599353600000004</v>
      </c>
      <c r="S47" s="538"/>
      <c r="T47" s="538"/>
      <c r="U47" s="547"/>
      <c r="V47" s="11">
        <f t="shared" si="0"/>
        <v>0</v>
      </c>
      <c r="W47" s="11">
        <f t="shared" si="1"/>
        <v>0</v>
      </c>
      <c r="X47" s="263"/>
      <c r="Y47" s="61"/>
      <c r="Z47" s="61"/>
    </row>
    <row r="48" spans="1:26" ht="24.75" customHeight="1">
      <c r="A48" s="540">
        <f>+A46+1</f>
        <v>13</v>
      </c>
      <c r="B48" s="541" t="s">
        <v>66</v>
      </c>
      <c r="C48" s="542" t="s">
        <v>67</v>
      </c>
      <c r="D48" s="543" t="s">
        <v>56</v>
      </c>
      <c r="E48" s="564">
        <f>+E46</f>
        <v>57</v>
      </c>
      <c r="F48" s="546">
        <v>0.06</v>
      </c>
      <c r="G48" s="546"/>
      <c r="H48" s="546"/>
      <c r="I48" s="546">
        <v>0.05</v>
      </c>
      <c r="J48" s="546"/>
      <c r="K48" s="546"/>
      <c r="L48" s="266"/>
      <c r="M48" s="259"/>
      <c r="N48" s="267"/>
      <c r="O48" s="260"/>
      <c r="P48" s="268"/>
      <c r="Q48" s="58"/>
      <c r="R48" s="58">
        <f>F49+I49</f>
        <v>0.30282779999999998</v>
      </c>
      <c r="S48" s="538">
        <f>R48+R49</f>
        <v>5.840773792320002</v>
      </c>
      <c r="T48" s="538">
        <f>E48*S48</f>
        <v>332.92410616224009</v>
      </c>
      <c r="U48" s="547">
        <f>E48*R49</f>
        <v>315.66292156224011</v>
      </c>
      <c r="V48" s="11">
        <f t="shared" si="0"/>
        <v>7.7868982045428536</v>
      </c>
      <c r="W48" s="11">
        <f t="shared" si="1"/>
        <v>443.85319765894263</v>
      </c>
      <c r="X48" s="269"/>
      <c r="Y48" s="59"/>
      <c r="Z48" s="59"/>
    </row>
    <row r="49" spans="1:26" ht="19.5" hidden="1" customHeight="1">
      <c r="A49" s="540"/>
      <c r="B49" s="541"/>
      <c r="C49" s="542"/>
      <c r="D49" s="543"/>
      <c r="E49" s="564"/>
      <c r="F49" s="538">
        <f>F48*$J$13/1000</f>
        <v>0.14746979999999998</v>
      </c>
      <c r="G49" s="538"/>
      <c r="H49" s="538"/>
      <c r="I49" s="538">
        <f>I48*$Q$13/1000</f>
        <v>0.155358</v>
      </c>
      <c r="J49" s="538"/>
      <c r="K49" s="538"/>
      <c r="L49" s="264" t="s">
        <v>60</v>
      </c>
      <c r="M49" s="259" t="s">
        <v>61</v>
      </c>
      <c r="N49" s="270">
        <v>1.419</v>
      </c>
      <c r="O49" s="260">
        <f>E48*N49</f>
        <v>80.882999999999996</v>
      </c>
      <c r="P49" s="271">
        <f>2.124/1.2</f>
        <v>1.7700000000000002</v>
      </c>
      <c r="Q49" s="58">
        <f>N49*P49*$N$11</f>
        <v>2.9266718342400009</v>
      </c>
      <c r="R49" s="538">
        <f>SUM(Q49:Q51)</f>
        <v>5.5379459923200018</v>
      </c>
      <c r="S49" s="538"/>
      <c r="T49" s="538"/>
      <c r="U49" s="547"/>
      <c r="V49" s="11">
        <f t="shared" si="0"/>
        <v>0</v>
      </c>
      <c r="W49" s="11">
        <f t="shared" si="1"/>
        <v>0</v>
      </c>
      <c r="X49" s="269"/>
      <c r="Y49" s="59"/>
      <c r="Z49" s="59"/>
    </row>
    <row r="50" spans="1:26" ht="19.5" hidden="1" customHeight="1">
      <c r="A50" s="540"/>
      <c r="B50" s="541"/>
      <c r="C50" s="542"/>
      <c r="D50" s="543"/>
      <c r="E50" s="564"/>
      <c r="F50" s="538"/>
      <c r="G50" s="538"/>
      <c r="H50" s="538"/>
      <c r="I50" s="538"/>
      <c r="J50" s="538"/>
      <c r="K50" s="538"/>
      <c r="L50" s="264" t="s">
        <v>62</v>
      </c>
      <c r="M50" s="259" t="s">
        <v>61</v>
      </c>
      <c r="N50" s="270">
        <v>0.91600000000000004</v>
      </c>
      <c r="O50" s="260">
        <f>E48*N50</f>
        <v>52.212000000000003</v>
      </c>
      <c r="P50" s="271">
        <f>2.844/1.2</f>
        <v>2.37</v>
      </c>
      <c r="Q50" s="58">
        <f>N50*P50*$N$11</f>
        <v>2.5296601881600007</v>
      </c>
      <c r="R50" s="538"/>
      <c r="S50" s="538"/>
      <c r="T50" s="538"/>
      <c r="U50" s="547"/>
      <c r="V50" s="11">
        <f t="shared" si="0"/>
        <v>0</v>
      </c>
      <c r="W50" s="11">
        <f t="shared" si="1"/>
        <v>0</v>
      </c>
      <c r="X50" s="272"/>
      <c r="Y50" s="61"/>
      <c r="Z50" s="61"/>
    </row>
    <row r="51" spans="1:26" ht="11.25" hidden="1" customHeight="1">
      <c r="A51" s="540"/>
      <c r="B51" s="541"/>
      <c r="C51" s="542"/>
      <c r="D51" s="543"/>
      <c r="E51" s="564"/>
      <c r="F51" s="538"/>
      <c r="G51" s="538"/>
      <c r="H51" s="538"/>
      <c r="I51" s="538"/>
      <c r="J51" s="538"/>
      <c r="K51" s="538"/>
      <c r="L51" s="264" t="s">
        <v>63</v>
      </c>
      <c r="M51" s="259" t="s">
        <v>61</v>
      </c>
      <c r="N51" s="270">
        <v>6.8000000000000005E-2</v>
      </c>
      <c r="O51" s="260">
        <f>E48*N51</f>
        <v>3.8760000000000003</v>
      </c>
      <c r="P51" s="271">
        <f>1.236/1.2</f>
        <v>1.03</v>
      </c>
      <c r="Q51" s="58">
        <f>N51*P51*$N$11</f>
        <v>8.1613969920000029E-2</v>
      </c>
      <c r="R51" s="538"/>
      <c r="S51" s="538"/>
      <c r="T51" s="538"/>
      <c r="U51" s="547"/>
      <c r="V51" s="11">
        <f t="shared" si="0"/>
        <v>0</v>
      </c>
      <c r="W51" s="11">
        <f t="shared" si="1"/>
        <v>0</v>
      </c>
      <c r="X51" s="269"/>
      <c r="Y51" s="61"/>
      <c r="Z51" s="61"/>
    </row>
    <row r="52" spans="1:26" ht="20.25" customHeight="1">
      <c r="A52" s="540">
        <f>+A48+1</f>
        <v>14</v>
      </c>
      <c r="B52" s="541" t="s">
        <v>68</v>
      </c>
      <c r="C52" s="542" t="s">
        <v>69</v>
      </c>
      <c r="D52" s="543" t="s">
        <v>56</v>
      </c>
      <c r="E52" s="564">
        <v>3</v>
      </c>
      <c r="F52" s="538">
        <v>0.33</v>
      </c>
      <c r="G52" s="538"/>
      <c r="H52" s="538"/>
      <c r="I52" s="538">
        <v>0.14000000000000001</v>
      </c>
      <c r="J52" s="538"/>
      <c r="K52" s="538"/>
      <c r="L52" s="258"/>
      <c r="M52" s="259"/>
      <c r="N52" s="260"/>
      <c r="O52" s="260"/>
      <c r="P52" s="261"/>
      <c r="Q52" s="262"/>
      <c r="R52" s="58">
        <f>F53+I53</f>
        <v>1.2460863</v>
      </c>
      <c r="S52" s="538">
        <f>R52+R53</f>
        <v>6.8742341400000013</v>
      </c>
      <c r="T52" s="538">
        <f>E52*S52</f>
        <v>20.622702420000003</v>
      </c>
      <c r="U52" s="547">
        <f>E52*R53</f>
        <v>16.884443520000005</v>
      </c>
      <c r="V52" s="11">
        <f t="shared" si="0"/>
        <v>9.164703750855427</v>
      </c>
      <c r="W52" s="11">
        <f t="shared" si="1"/>
        <v>27.494111252566281</v>
      </c>
      <c r="X52" s="263"/>
      <c r="Y52" s="59"/>
      <c r="Z52" s="59"/>
    </row>
    <row r="53" spans="1:26" ht="19.5" hidden="1" customHeight="1">
      <c r="A53" s="540"/>
      <c r="B53" s="541"/>
      <c r="C53" s="542"/>
      <c r="D53" s="543"/>
      <c r="E53" s="564"/>
      <c r="F53" s="538">
        <f>F52*$J$13/1000</f>
        <v>0.81108389999999997</v>
      </c>
      <c r="G53" s="538"/>
      <c r="H53" s="538"/>
      <c r="I53" s="538">
        <f>I52*$Q$13/1000</f>
        <v>0.43500240000000001</v>
      </c>
      <c r="J53" s="538"/>
      <c r="K53" s="538"/>
      <c r="L53" s="264" t="s">
        <v>70</v>
      </c>
      <c r="M53" s="259" t="s">
        <v>56</v>
      </c>
      <c r="N53" s="58">
        <v>1</v>
      </c>
      <c r="O53" s="260">
        <f>E52*N53</f>
        <v>3</v>
      </c>
      <c r="P53" s="265">
        <v>4.83</v>
      </c>
      <c r="Q53" s="58">
        <f>N53*P53*$N$11</f>
        <v>5.6281478400000013</v>
      </c>
      <c r="R53" s="58">
        <f>SUM(Q53:Q53)</f>
        <v>5.6281478400000013</v>
      </c>
      <c r="S53" s="538"/>
      <c r="T53" s="538"/>
      <c r="U53" s="547"/>
      <c r="V53" s="11">
        <f t="shared" ref="V53:V84" si="5">+$V$14*S53</f>
        <v>0</v>
      </c>
      <c r="W53" s="11">
        <f t="shared" si="1"/>
        <v>0</v>
      </c>
      <c r="X53" s="263"/>
      <c r="Y53" s="59"/>
      <c r="Z53" s="59"/>
    </row>
    <row r="54" spans="1:26" ht="24.75" customHeight="1">
      <c r="A54" s="540">
        <f>+A52+1</f>
        <v>15</v>
      </c>
      <c r="B54" s="541" t="s">
        <v>71</v>
      </c>
      <c r="C54" s="542" t="s">
        <v>72</v>
      </c>
      <c r="D54" s="543" t="s">
        <v>56</v>
      </c>
      <c r="E54" s="564">
        <f>+E52</f>
        <v>3</v>
      </c>
      <c r="F54" s="546">
        <v>7.0000000000000007E-2</v>
      </c>
      <c r="G54" s="546"/>
      <c r="H54" s="546"/>
      <c r="I54" s="546">
        <v>0.05</v>
      </c>
      <c r="J54" s="546"/>
      <c r="K54" s="546"/>
      <c r="L54" s="266"/>
      <c r="M54" s="259"/>
      <c r="N54" s="267"/>
      <c r="O54" s="260"/>
      <c r="P54" s="268"/>
      <c r="Q54" s="58"/>
      <c r="R54" s="58">
        <f>F55+I55</f>
        <v>0.32740610000000003</v>
      </c>
      <c r="S54" s="538">
        <f>R54+R55</f>
        <v>7.1258940737600014</v>
      </c>
      <c r="T54" s="538">
        <f>E54*S54</f>
        <v>21.377682221280004</v>
      </c>
      <c r="U54" s="547">
        <f>E54*R55</f>
        <v>20.395463921280005</v>
      </c>
      <c r="V54" s="11">
        <f t="shared" si="5"/>
        <v>9.5002158518253097</v>
      </c>
      <c r="W54" s="11">
        <f t="shared" si="1"/>
        <v>28.500647555475929</v>
      </c>
      <c r="X54" s="269"/>
      <c r="Y54" s="61"/>
      <c r="Z54" s="61"/>
    </row>
    <row r="55" spans="1:26" ht="12" hidden="1" customHeight="1">
      <c r="A55" s="540"/>
      <c r="B55" s="541"/>
      <c r="C55" s="542"/>
      <c r="D55" s="543"/>
      <c r="E55" s="564"/>
      <c r="F55" s="538">
        <f>F54*$J$13/1000</f>
        <v>0.17204810000000001</v>
      </c>
      <c r="G55" s="538"/>
      <c r="H55" s="538"/>
      <c r="I55" s="538">
        <f>I54*$Q$13/1000</f>
        <v>0.155358</v>
      </c>
      <c r="J55" s="538"/>
      <c r="K55" s="538"/>
      <c r="L55" s="264" t="s">
        <v>60</v>
      </c>
      <c r="M55" s="259" t="s">
        <v>61</v>
      </c>
      <c r="N55" s="270">
        <v>1.7370000000000001</v>
      </c>
      <c r="O55" s="260">
        <f>E54*N55</f>
        <v>5.2110000000000003</v>
      </c>
      <c r="P55" s="271">
        <f>2.124/1.2</f>
        <v>1.7700000000000002</v>
      </c>
      <c r="Q55" s="58">
        <f>N55*P55*$N$11</f>
        <v>3.5825433235200013</v>
      </c>
      <c r="R55" s="538">
        <f>SUM(Q55:Q57)</f>
        <v>6.7984879737600012</v>
      </c>
      <c r="S55" s="538"/>
      <c r="T55" s="538"/>
      <c r="U55" s="547"/>
      <c r="V55" s="11">
        <f t="shared" si="5"/>
        <v>0</v>
      </c>
      <c r="W55" s="11">
        <f t="shared" si="1"/>
        <v>0</v>
      </c>
      <c r="X55" s="269"/>
      <c r="Y55" s="61"/>
      <c r="Z55" s="61"/>
    </row>
    <row r="56" spans="1:26" ht="12" hidden="1" customHeight="1">
      <c r="A56" s="540"/>
      <c r="B56" s="541"/>
      <c r="C56" s="542"/>
      <c r="D56" s="543"/>
      <c r="E56" s="564"/>
      <c r="F56" s="538"/>
      <c r="G56" s="538"/>
      <c r="H56" s="538"/>
      <c r="I56" s="538"/>
      <c r="J56" s="538"/>
      <c r="K56" s="538"/>
      <c r="L56" s="264" t="s">
        <v>62</v>
      </c>
      <c r="M56" s="259" t="s">
        <v>61</v>
      </c>
      <c r="N56" s="270">
        <v>1.1279999999999999</v>
      </c>
      <c r="O56" s="260">
        <f>E54*N56</f>
        <v>3.3839999999999995</v>
      </c>
      <c r="P56" s="271">
        <f>2.844/1.2</f>
        <v>2.37</v>
      </c>
      <c r="Q56" s="58">
        <f>N56*P56*$N$11</f>
        <v>3.1151273932800003</v>
      </c>
      <c r="R56" s="538"/>
      <c r="S56" s="538"/>
      <c r="T56" s="538"/>
      <c r="U56" s="547"/>
      <c r="V56" s="11">
        <f t="shared" si="5"/>
        <v>0</v>
      </c>
      <c r="W56" s="11">
        <f t="shared" si="1"/>
        <v>0</v>
      </c>
      <c r="X56" s="269"/>
      <c r="Y56" s="61"/>
      <c r="Z56" s="61"/>
    </row>
    <row r="57" spans="1:26" ht="12" hidden="1" customHeight="1">
      <c r="A57" s="540"/>
      <c r="B57" s="541"/>
      <c r="C57" s="542"/>
      <c r="D57" s="543"/>
      <c r="E57" s="564"/>
      <c r="F57" s="538"/>
      <c r="G57" s="538"/>
      <c r="H57" s="538"/>
      <c r="I57" s="538"/>
      <c r="J57" s="538"/>
      <c r="K57" s="538"/>
      <c r="L57" s="264" t="s">
        <v>63</v>
      </c>
      <c r="M57" s="259" t="s">
        <v>61</v>
      </c>
      <c r="N57" s="270">
        <v>8.4000000000000005E-2</v>
      </c>
      <c r="O57" s="260">
        <f>E54*N57</f>
        <v>0.252</v>
      </c>
      <c r="P57" s="271">
        <f>1.236/1.2</f>
        <v>1.03</v>
      </c>
      <c r="Q57" s="58">
        <f>N57*P57*$N$11</f>
        <v>0.10081725696000005</v>
      </c>
      <c r="R57" s="538"/>
      <c r="S57" s="538"/>
      <c r="T57" s="538"/>
      <c r="U57" s="547"/>
      <c r="V57" s="11">
        <f t="shared" si="5"/>
        <v>0</v>
      </c>
      <c r="W57" s="11">
        <f t="shared" si="1"/>
        <v>0</v>
      </c>
      <c r="X57" s="269"/>
      <c r="Y57" s="61"/>
      <c r="Z57" s="61"/>
    </row>
    <row r="58" spans="1:26" ht="19.5" customHeight="1">
      <c r="A58" s="540">
        <f>+A54+1</f>
        <v>16</v>
      </c>
      <c r="B58" s="541" t="s">
        <v>73</v>
      </c>
      <c r="C58" s="542" t="s">
        <v>74</v>
      </c>
      <c r="D58" s="543" t="s">
        <v>56</v>
      </c>
      <c r="E58" s="564">
        <v>3</v>
      </c>
      <c r="F58" s="538">
        <v>0.31</v>
      </c>
      <c r="G58" s="538"/>
      <c r="H58" s="538"/>
      <c r="I58" s="538">
        <v>0.2</v>
      </c>
      <c r="J58" s="538"/>
      <c r="K58" s="538"/>
      <c r="L58" s="258"/>
      <c r="M58" s="259"/>
      <c r="N58" s="260"/>
      <c r="O58" s="260"/>
      <c r="P58" s="261"/>
      <c r="Q58" s="262"/>
      <c r="R58" s="58">
        <f>F59+I59</f>
        <v>1.3833593</v>
      </c>
      <c r="S58" s="538">
        <f>R58+R59</f>
        <v>8.9574713000000017</v>
      </c>
      <c r="T58" s="538">
        <f>E58*S58</f>
        <v>26.872413900000005</v>
      </c>
      <c r="U58" s="547">
        <f>E58*R59</f>
        <v>22.722336000000006</v>
      </c>
      <c r="V58" s="11">
        <f t="shared" si="5"/>
        <v>11.9420678943138</v>
      </c>
      <c r="W58" s="11">
        <f t="shared" si="1"/>
        <v>35.826203682941397</v>
      </c>
      <c r="X58" s="263"/>
      <c r="Y58" s="59"/>
      <c r="Z58" s="59"/>
    </row>
    <row r="59" spans="1:26" ht="19.5" hidden="1" customHeight="1">
      <c r="A59" s="540"/>
      <c r="B59" s="541"/>
      <c r="C59" s="542"/>
      <c r="D59" s="543"/>
      <c r="E59" s="564"/>
      <c r="F59" s="538">
        <f>F58*$J$13/1000</f>
        <v>0.76192729999999997</v>
      </c>
      <c r="G59" s="538"/>
      <c r="H59" s="538"/>
      <c r="I59" s="538">
        <f>I58*$Q$13/1000</f>
        <v>0.62143199999999998</v>
      </c>
      <c r="J59" s="538"/>
      <c r="K59" s="538"/>
      <c r="L59" s="264" t="s">
        <v>75</v>
      </c>
      <c r="M59" s="259" t="s">
        <v>56</v>
      </c>
      <c r="N59" s="58">
        <v>1</v>
      </c>
      <c r="O59" s="260">
        <f>E58*N59</f>
        <v>3</v>
      </c>
      <c r="P59" s="265">
        <v>6.5</v>
      </c>
      <c r="Q59" s="58">
        <f>N59*P59*$N$11</f>
        <v>7.5741120000000022</v>
      </c>
      <c r="R59" s="58">
        <f>SUM(Q59:Q59)</f>
        <v>7.5741120000000022</v>
      </c>
      <c r="S59" s="538"/>
      <c r="T59" s="538"/>
      <c r="U59" s="547"/>
      <c r="V59" s="11">
        <f t="shared" si="5"/>
        <v>0</v>
      </c>
      <c r="W59" s="11">
        <f t="shared" si="1"/>
        <v>0</v>
      </c>
      <c r="X59" s="263"/>
      <c r="Y59" s="59"/>
      <c r="Z59" s="59"/>
    </row>
    <row r="60" spans="1:26" ht="26.25" customHeight="1">
      <c r="A60" s="540">
        <f>+A58+1</f>
        <v>17</v>
      </c>
      <c r="B60" s="541" t="s">
        <v>76</v>
      </c>
      <c r="C60" s="542" t="s">
        <v>77</v>
      </c>
      <c r="D60" s="543" t="s">
        <v>56</v>
      </c>
      <c r="E60" s="564">
        <f>+E58</f>
        <v>3</v>
      </c>
      <c r="F60" s="546">
        <v>0.03</v>
      </c>
      <c r="G60" s="546"/>
      <c r="H60" s="546"/>
      <c r="I60" s="546">
        <v>0.17</v>
      </c>
      <c r="J60" s="546"/>
      <c r="K60" s="546"/>
      <c r="L60" s="266"/>
      <c r="M60" s="259"/>
      <c r="N60" s="267"/>
      <c r="O60" s="260"/>
      <c r="P60" s="268"/>
      <c r="Q60" s="58"/>
      <c r="R60" s="58">
        <f>F61+I61</f>
        <v>0.6019521000000001</v>
      </c>
      <c r="S60" s="538">
        <f>R60+R61</f>
        <v>8.7098875137600036</v>
      </c>
      <c r="T60" s="538">
        <f>E60*S60</f>
        <v>26.129662541280013</v>
      </c>
      <c r="U60" s="547">
        <f>E60*R61</f>
        <v>24.32380624128001</v>
      </c>
      <c r="V60" s="11">
        <f t="shared" si="5"/>
        <v>11.611990098272262</v>
      </c>
      <c r="W60" s="11">
        <f t="shared" si="1"/>
        <v>34.835970294816789</v>
      </c>
      <c r="X60" s="269"/>
      <c r="Y60" s="61"/>
      <c r="Z60" s="61"/>
    </row>
    <row r="61" spans="1:26" ht="19.5" hidden="1" customHeight="1">
      <c r="A61" s="540"/>
      <c r="B61" s="541"/>
      <c r="C61" s="542"/>
      <c r="D61" s="543"/>
      <c r="E61" s="564"/>
      <c r="F61" s="538">
        <f>F60*$J$13/1000</f>
        <v>7.3734899999999992E-2</v>
      </c>
      <c r="G61" s="538"/>
      <c r="H61" s="538"/>
      <c r="I61" s="538">
        <f>I60*$Q$13/1000</f>
        <v>0.52821720000000005</v>
      </c>
      <c r="J61" s="538"/>
      <c r="K61" s="538"/>
      <c r="L61" s="264" t="s">
        <v>60</v>
      </c>
      <c r="M61" s="259" t="s">
        <v>61</v>
      </c>
      <c r="N61" s="270">
        <v>2.0680000000000001</v>
      </c>
      <c r="O61" s="260">
        <f>E60*N61</f>
        <v>6.2040000000000006</v>
      </c>
      <c r="P61" s="271">
        <f>2.124/1.2</f>
        <v>1.7700000000000002</v>
      </c>
      <c r="Q61" s="58">
        <f>N61*P61*$N$11</f>
        <v>4.2652271692800019</v>
      </c>
      <c r="R61" s="538">
        <f>SUM(Q61:Q63)</f>
        <v>8.1079354137600035</v>
      </c>
      <c r="S61" s="538"/>
      <c r="T61" s="538"/>
      <c r="U61" s="547"/>
      <c r="V61" s="11">
        <f t="shared" si="5"/>
        <v>0</v>
      </c>
      <c r="W61" s="11">
        <f t="shared" si="1"/>
        <v>0</v>
      </c>
      <c r="X61" s="269"/>
      <c r="Y61" s="61"/>
      <c r="Z61" s="61"/>
    </row>
    <row r="62" spans="1:26" ht="19.5" hidden="1" customHeight="1">
      <c r="A62" s="540"/>
      <c r="B62" s="541"/>
      <c r="C62" s="542"/>
      <c r="D62" s="543"/>
      <c r="E62" s="564"/>
      <c r="F62" s="538"/>
      <c r="G62" s="538"/>
      <c r="H62" s="538"/>
      <c r="I62" s="538"/>
      <c r="J62" s="538"/>
      <c r="K62" s="538"/>
      <c r="L62" s="264" t="s">
        <v>62</v>
      </c>
      <c r="M62" s="259" t="s">
        <v>61</v>
      </c>
      <c r="N62" s="270">
        <v>1.3480000000000001</v>
      </c>
      <c r="O62" s="260">
        <f>E60*N62</f>
        <v>4.0440000000000005</v>
      </c>
      <c r="P62" s="271">
        <f>2.844/1.2</f>
        <v>2.37</v>
      </c>
      <c r="Q62" s="58">
        <f>N62*P62*$N$11</f>
        <v>3.7226877004800016</v>
      </c>
      <c r="R62" s="538"/>
      <c r="S62" s="538"/>
      <c r="T62" s="538"/>
      <c r="U62" s="547"/>
      <c r="V62" s="11">
        <f t="shared" si="5"/>
        <v>0</v>
      </c>
      <c r="W62" s="11">
        <f t="shared" si="1"/>
        <v>0</v>
      </c>
      <c r="X62" s="269"/>
      <c r="Y62" s="61"/>
      <c r="Z62" s="61"/>
    </row>
    <row r="63" spans="1:26" ht="19.5" hidden="1" customHeight="1">
      <c r="A63" s="540"/>
      <c r="B63" s="541"/>
      <c r="C63" s="542"/>
      <c r="D63" s="543"/>
      <c r="E63" s="564"/>
      <c r="F63" s="538"/>
      <c r="G63" s="538"/>
      <c r="H63" s="538"/>
      <c r="I63" s="538"/>
      <c r="J63" s="538"/>
      <c r="K63" s="538"/>
      <c r="L63" s="264" t="s">
        <v>63</v>
      </c>
      <c r="M63" s="259" t="s">
        <v>61</v>
      </c>
      <c r="N63" s="270">
        <v>0.1</v>
      </c>
      <c r="O63" s="260">
        <f>E60*N63</f>
        <v>0.30000000000000004</v>
      </c>
      <c r="P63" s="271">
        <f>1.236/1.2</f>
        <v>1.03</v>
      </c>
      <c r="Q63" s="58">
        <f>N63*P63*$N$11</f>
        <v>0.12002054400000003</v>
      </c>
      <c r="R63" s="538"/>
      <c r="S63" s="538"/>
      <c r="T63" s="538"/>
      <c r="U63" s="547"/>
      <c r="V63" s="11">
        <f t="shared" si="5"/>
        <v>0</v>
      </c>
      <c r="W63" s="11">
        <f t="shared" si="1"/>
        <v>0</v>
      </c>
      <c r="X63" s="269"/>
      <c r="Y63" s="61"/>
      <c r="Z63" s="61"/>
    </row>
    <row r="64" spans="1:26" ht="19.5" customHeight="1">
      <c r="A64" s="593">
        <f>+A60+1</f>
        <v>18</v>
      </c>
      <c r="B64" s="578" t="s">
        <v>78</v>
      </c>
      <c r="C64" s="579" t="s">
        <v>79</v>
      </c>
      <c r="D64" s="594" t="s">
        <v>80</v>
      </c>
      <c r="E64" s="595">
        <v>4</v>
      </c>
      <c r="F64" s="576">
        <f>4.72*0.15</f>
        <v>0.70799999999999996</v>
      </c>
      <c r="G64" s="576"/>
      <c r="H64" s="576"/>
      <c r="I64" s="576">
        <f>2.07*0.15</f>
        <v>0.31049999999999994</v>
      </c>
      <c r="J64" s="576"/>
      <c r="K64" s="576"/>
      <c r="L64" s="266"/>
      <c r="M64" s="259"/>
      <c r="N64" s="260"/>
      <c r="O64" s="260"/>
      <c r="P64" s="260"/>
      <c r="Q64" s="58"/>
      <c r="R64" s="152">
        <f>F65+I65</f>
        <v>2.7049168199999998</v>
      </c>
      <c r="S64" s="576">
        <f>R64+R65</f>
        <v>4.7260329296629209</v>
      </c>
      <c r="T64" s="576">
        <f>E64*S64</f>
        <v>18.904131718651684</v>
      </c>
      <c r="U64" s="576">
        <f>R65*E64</f>
        <v>8.0844644386516862</v>
      </c>
      <c r="V64" s="11">
        <f t="shared" si="5"/>
        <v>6.3007297736803629</v>
      </c>
      <c r="W64" s="11">
        <f t="shared" si="1"/>
        <v>25.202919094721452</v>
      </c>
      <c r="X64" s="273"/>
      <c r="Y64" s="94"/>
      <c r="Z64" s="94"/>
    </row>
    <row r="65" spans="1:26" ht="19.5" hidden="1" customHeight="1">
      <c r="A65" s="593"/>
      <c r="B65" s="578"/>
      <c r="C65" s="579"/>
      <c r="D65" s="594"/>
      <c r="E65" s="595"/>
      <c r="F65" s="591">
        <f>F64*$J$13/1000</f>
        <v>1.7401436399999999</v>
      </c>
      <c r="G65" s="591"/>
      <c r="H65" s="591"/>
      <c r="I65" s="592">
        <f>I64*$Q$13/1000</f>
        <v>0.96477317999999979</v>
      </c>
      <c r="J65" s="592"/>
      <c r="K65" s="592"/>
      <c r="L65" s="274" t="s">
        <v>81</v>
      </c>
      <c r="M65" s="259" t="s">
        <v>61</v>
      </c>
      <c r="N65" s="270">
        <v>2</v>
      </c>
      <c r="O65" s="260">
        <f>E64*N65</f>
        <v>8</v>
      </c>
      <c r="P65" s="275">
        <v>0.16500000000000001</v>
      </c>
      <c r="Q65" s="58">
        <f>N65*P65*$N$11</f>
        <v>0.38453184000000012</v>
      </c>
      <c r="R65" s="576">
        <f>SUM(Q65:Q66)</f>
        <v>2.0211161096629215</v>
      </c>
      <c r="S65" s="576"/>
      <c r="T65" s="576"/>
      <c r="U65" s="576"/>
      <c r="V65" s="11">
        <f t="shared" si="5"/>
        <v>0</v>
      </c>
      <c r="W65" s="11">
        <f t="shared" si="1"/>
        <v>0</v>
      </c>
      <c r="X65" s="273"/>
      <c r="Y65" s="94"/>
      <c r="Z65" s="94"/>
    </row>
    <row r="66" spans="1:26" ht="19.5" hidden="1" customHeight="1">
      <c r="A66" s="593"/>
      <c r="B66" s="578"/>
      <c r="C66" s="579"/>
      <c r="D66" s="594"/>
      <c r="E66" s="595"/>
      <c r="F66" s="591"/>
      <c r="G66" s="591"/>
      <c r="H66" s="591"/>
      <c r="I66" s="592"/>
      <c r="J66" s="592"/>
      <c r="K66" s="592"/>
      <c r="L66" s="274" t="s">
        <v>82</v>
      </c>
      <c r="M66" s="259" t="s">
        <v>61</v>
      </c>
      <c r="N66" s="270">
        <v>1</v>
      </c>
      <c r="O66" s="260">
        <f>E64*N66</f>
        <v>4</v>
      </c>
      <c r="P66" s="275">
        <f>1.25/0.89</f>
        <v>1.4044943820224718</v>
      </c>
      <c r="Q66" s="58">
        <f>N66*P66*$N$11</f>
        <v>1.6365842696629216</v>
      </c>
      <c r="R66" s="576"/>
      <c r="S66" s="576"/>
      <c r="T66" s="576"/>
      <c r="U66" s="576"/>
      <c r="V66" s="11">
        <f t="shared" si="5"/>
        <v>0</v>
      </c>
      <c r="W66" s="11">
        <f t="shared" si="1"/>
        <v>0</v>
      </c>
      <c r="X66" s="273"/>
      <c r="Y66" s="94"/>
      <c r="Z66" s="94"/>
    </row>
    <row r="67" spans="1:26" ht="27" customHeight="1">
      <c r="A67" s="540">
        <f>+A64+1</f>
        <v>19</v>
      </c>
      <c r="B67" s="541" t="s">
        <v>83</v>
      </c>
      <c r="C67" s="542" t="s">
        <v>182</v>
      </c>
      <c r="D67" s="543" t="s">
        <v>56</v>
      </c>
      <c r="E67" s="544">
        <v>15</v>
      </c>
      <c r="F67" s="538">
        <v>0.33</v>
      </c>
      <c r="G67" s="538"/>
      <c r="H67" s="538"/>
      <c r="I67" s="538">
        <v>0.31</v>
      </c>
      <c r="J67" s="538"/>
      <c r="K67" s="538"/>
      <c r="L67" s="258"/>
      <c r="M67" s="259"/>
      <c r="N67" s="260"/>
      <c r="O67" s="260"/>
      <c r="P67" s="276"/>
      <c r="Q67" s="262"/>
      <c r="R67" s="58">
        <f>F68+I68</f>
        <v>1.7743034999999998</v>
      </c>
      <c r="S67" s="538">
        <f>R67+R68</f>
        <v>22.069427916000006</v>
      </c>
      <c r="T67" s="538">
        <f>E67*S67</f>
        <v>331.0414187400001</v>
      </c>
      <c r="U67" s="547">
        <f>E67*R68</f>
        <v>304.42686624000009</v>
      </c>
      <c r="V67" s="11">
        <f t="shared" si="5"/>
        <v>29.422880379369602</v>
      </c>
      <c r="W67" s="11">
        <f t="shared" si="1"/>
        <v>441.34320569054404</v>
      </c>
      <c r="X67" s="263"/>
      <c r="Y67" s="103"/>
      <c r="Z67" s="103"/>
    </row>
    <row r="68" spans="1:26" ht="19.5" hidden="1" customHeight="1">
      <c r="A68" s="540"/>
      <c r="B68" s="541"/>
      <c r="C68" s="542"/>
      <c r="D68" s="543"/>
      <c r="E68" s="544"/>
      <c r="F68" s="538">
        <f>F67*$J$13/1000</f>
        <v>0.81108389999999997</v>
      </c>
      <c r="G68" s="538"/>
      <c r="H68" s="538"/>
      <c r="I68" s="538">
        <f>I67*$Q$13/1000</f>
        <v>0.96321959999999995</v>
      </c>
      <c r="J68" s="538"/>
      <c r="K68" s="538"/>
      <c r="L68" s="274" t="s">
        <v>84</v>
      </c>
      <c r="M68" s="259" t="s">
        <v>56</v>
      </c>
      <c r="N68" s="58">
        <v>1</v>
      </c>
      <c r="O68" s="260">
        <f>E67*N68</f>
        <v>15</v>
      </c>
      <c r="P68" s="277">
        <v>17.417000000000002</v>
      </c>
      <c r="Q68" s="58">
        <f>N68*P68*$N$11</f>
        <v>20.295124416000007</v>
      </c>
      <c r="R68" s="58">
        <f>SUM(Q68:Q68)</f>
        <v>20.295124416000007</v>
      </c>
      <c r="S68" s="538"/>
      <c r="T68" s="538"/>
      <c r="U68" s="547"/>
      <c r="V68" s="11">
        <f t="shared" si="5"/>
        <v>0</v>
      </c>
      <c r="W68" s="11">
        <f t="shared" si="1"/>
        <v>0</v>
      </c>
      <c r="X68" s="263"/>
      <c r="Y68" s="103"/>
      <c r="Z68" s="103"/>
    </row>
    <row r="69" spans="1:26" ht="26.25" customHeight="1">
      <c r="A69" s="540">
        <f>1+A67</f>
        <v>20</v>
      </c>
      <c r="B69" s="541" t="s">
        <v>73</v>
      </c>
      <c r="C69" s="542" t="s">
        <v>85</v>
      </c>
      <c r="D69" s="543" t="s">
        <v>56</v>
      </c>
      <c r="E69" s="544">
        <v>1215</v>
      </c>
      <c r="F69" s="538">
        <v>0.31</v>
      </c>
      <c r="G69" s="538"/>
      <c r="H69" s="538"/>
      <c r="I69" s="538">
        <v>0.2</v>
      </c>
      <c r="J69" s="538"/>
      <c r="K69" s="538"/>
      <c r="L69" s="258"/>
      <c r="M69" s="259"/>
      <c r="N69" s="260"/>
      <c r="O69" s="260"/>
      <c r="P69" s="276"/>
      <c r="Q69" s="262"/>
      <c r="R69" s="58">
        <f>F70+I70</f>
        <v>1.3833593</v>
      </c>
      <c r="S69" s="538">
        <f>R69+R70</f>
        <v>8.9667932840000013</v>
      </c>
      <c r="T69" s="538">
        <f>E69*S69</f>
        <v>10894.653840060002</v>
      </c>
      <c r="U69" s="547">
        <f>E69*R70</f>
        <v>9213.8722905600025</v>
      </c>
      <c r="V69" s="11">
        <f t="shared" si="5"/>
        <v>11.954495929203256</v>
      </c>
      <c r="W69" s="11">
        <f t="shared" si="1"/>
        <v>14524.712553981957</v>
      </c>
      <c r="X69" s="263"/>
      <c r="Y69" s="59"/>
      <c r="Z69" s="27"/>
    </row>
    <row r="70" spans="1:26" ht="19.5" hidden="1" customHeight="1">
      <c r="A70" s="540"/>
      <c r="B70" s="541"/>
      <c r="C70" s="542"/>
      <c r="D70" s="543"/>
      <c r="E70" s="544"/>
      <c r="F70" s="538">
        <f>F69*$J$13/1000</f>
        <v>0.76192729999999997</v>
      </c>
      <c r="G70" s="538"/>
      <c r="H70" s="538"/>
      <c r="I70" s="538">
        <f>I69*$Q$13/1000</f>
        <v>0.62143199999999998</v>
      </c>
      <c r="J70" s="538"/>
      <c r="K70" s="538"/>
      <c r="L70" s="274" t="s">
        <v>86</v>
      </c>
      <c r="M70" s="259" t="s">
        <v>56</v>
      </c>
      <c r="N70" s="58">
        <v>1</v>
      </c>
      <c r="O70" s="260">
        <f>E69*N70</f>
        <v>1215</v>
      </c>
      <c r="P70" s="265">
        <v>6.508</v>
      </c>
      <c r="Q70" s="58">
        <f>N70*P70*$N$11</f>
        <v>7.5834339840000018</v>
      </c>
      <c r="R70" s="58">
        <f>SUM(Q70:Q70)</f>
        <v>7.5834339840000018</v>
      </c>
      <c r="S70" s="538"/>
      <c r="T70" s="538"/>
      <c r="U70" s="547"/>
      <c r="V70" s="11">
        <f t="shared" si="5"/>
        <v>0</v>
      </c>
      <c r="W70" s="11">
        <f t="shared" si="1"/>
        <v>0</v>
      </c>
      <c r="X70" s="263"/>
      <c r="Y70" s="59"/>
      <c r="Z70" s="106"/>
    </row>
    <row r="71" spans="1:26" ht="19.5" customHeight="1">
      <c r="A71" s="540">
        <f>+A69+1</f>
        <v>21</v>
      </c>
      <c r="B71" s="541" t="s">
        <v>68</v>
      </c>
      <c r="C71" s="542" t="s">
        <v>183</v>
      </c>
      <c r="D71" s="543" t="s">
        <v>56</v>
      </c>
      <c r="E71" s="544">
        <v>89</v>
      </c>
      <c r="F71" s="538">
        <v>0.33</v>
      </c>
      <c r="G71" s="538"/>
      <c r="H71" s="538"/>
      <c r="I71" s="538">
        <v>0.14000000000000001</v>
      </c>
      <c r="J71" s="538"/>
      <c r="K71" s="538"/>
      <c r="L71" s="258"/>
      <c r="M71" s="259"/>
      <c r="N71" s="260"/>
      <c r="O71" s="260"/>
      <c r="P71" s="276"/>
      <c r="Q71" s="262"/>
      <c r="R71" s="58">
        <f>F72+I72</f>
        <v>1.2460863</v>
      </c>
      <c r="S71" s="538">
        <f>R71+R72</f>
        <v>6.8742341400000013</v>
      </c>
      <c r="T71" s="538">
        <f>E71*S71</f>
        <v>611.80683846000011</v>
      </c>
      <c r="U71" s="547">
        <f>E71*R72</f>
        <v>500.90515776000012</v>
      </c>
      <c r="V71" s="11">
        <f t="shared" si="5"/>
        <v>9.164703750855427</v>
      </c>
      <c r="W71" s="11">
        <f t="shared" si="1"/>
        <v>815.65863382613304</v>
      </c>
      <c r="X71" s="263"/>
      <c r="Y71" s="103"/>
      <c r="Z71" s="103"/>
    </row>
    <row r="72" spans="1:26" ht="7.5" hidden="1" customHeight="1">
      <c r="A72" s="540"/>
      <c r="B72" s="541"/>
      <c r="C72" s="542"/>
      <c r="D72" s="543"/>
      <c r="E72" s="544"/>
      <c r="F72" s="538">
        <f>F71*$J$13/1000</f>
        <v>0.81108389999999997</v>
      </c>
      <c r="G72" s="538"/>
      <c r="H72" s="538"/>
      <c r="I72" s="538">
        <f>I71*$Q$13/1000</f>
        <v>0.43500240000000001</v>
      </c>
      <c r="J72" s="538"/>
      <c r="K72" s="538"/>
      <c r="L72" s="274" t="s">
        <v>87</v>
      </c>
      <c r="M72" s="259" t="s">
        <v>56</v>
      </c>
      <c r="N72" s="58">
        <v>1</v>
      </c>
      <c r="O72" s="260">
        <f>E71*N72</f>
        <v>89</v>
      </c>
      <c r="P72" s="265">
        <v>4.83</v>
      </c>
      <c r="Q72" s="58">
        <f>N72*P72*$N$11</f>
        <v>5.6281478400000013</v>
      </c>
      <c r="R72" s="58">
        <f>SUM(Q72:Q72)</f>
        <v>5.6281478400000013</v>
      </c>
      <c r="S72" s="538"/>
      <c r="T72" s="538"/>
      <c r="U72" s="547"/>
      <c r="V72" s="11">
        <f t="shared" si="5"/>
        <v>0</v>
      </c>
      <c r="W72" s="11">
        <f t="shared" si="1"/>
        <v>0</v>
      </c>
      <c r="X72" s="263"/>
      <c r="Y72" s="103"/>
      <c r="Z72" s="103"/>
    </row>
    <row r="73" spans="1:26" ht="27" customHeight="1">
      <c r="A73" s="540">
        <f>+A71+1</f>
        <v>22</v>
      </c>
      <c r="B73" s="541" t="s">
        <v>64</v>
      </c>
      <c r="C73" s="542" t="s">
        <v>184</v>
      </c>
      <c r="D73" s="543" t="s">
        <v>56</v>
      </c>
      <c r="E73" s="544">
        <v>1617</v>
      </c>
      <c r="F73" s="538">
        <v>0.28000000000000003</v>
      </c>
      <c r="G73" s="538"/>
      <c r="H73" s="538"/>
      <c r="I73" s="538">
        <v>0.18</v>
      </c>
      <c r="J73" s="538"/>
      <c r="K73" s="538"/>
      <c r="L73" s="258"/>
      <c r="M73" s="259"/>
      <c r="N73" s="260"/>
      <c r="O73" s="260"/>
      <c r="P73" s="276"/>
      <c r="Q73" s="262"/>
      <c r="R73" s="58">
        <f>F74+I74</f>
        <v>1.2474812</v>
      </c>
      <c r="S73" s="538">
        <f>R73+R74</f>
        <v>5.4074165600000006</v>
      </c>
      <c r="T73" s="538">
        <f>E73*S73</f>
        <v>8743.7925775200001</v>
      </c>
      <c r="U73" s="547">
        <f>E73*R74</f>
        <v>6726.6154771200008</v>
      </c>
      <c r="V73" s="11">
        <f t="shared" si="5"/>
        <v>7.2091479313315538</v>
      </c>
      <c r="W73" s="11">
        <f t="shared" si="1"/>
        <v>11657.192204963123</v>
      </c>
      <c r="X73" s="263"/>
      <c r="Y73" s="103"/>
      <c r="Z73" s="103"/>
    </row>
    <row r="74" spans="1:26" ht="27" hidden="1" customHeight="1">
      <c r="A74" s="540"/>
      <c r="B74" s="541"/>
      <c r="C74" s="542"/>
      <c r="D74" s="543"/>
      <c r="E74" s="544"/>
      <c r="F74" s="538">
        <f>F73*$J$13/1000</f>
        <v>0.68819240000000004</v>
      </c>
      <c r="G74" s="538"/>
      <c r="H74" s="538"/>
      <c r="I74" s="538">
        <f>I73*$Q$13/1000</f>
        <v>0.55928879999999992</v>
      </c>
      <c r="J74" s="538"/>
      <c r="K74" s="538"/>
      <c r="L74" s="274" t="s">
        <v>88</v>
      </c>
      <c r="M74" s="259" t="s">
        <v>56</v>
      </c>
      <c r="N74" s="58">
        <v>1</v>
      </c>
      <c r="O74" s="260">
        <f>E73*N74</f>
        <v>1617</v>
      </c>
      <c r="P74" s="265">
        <v>3.57</v>
      </c>
      <c r="Q74" s="58">
        <f>N74*P74*$N$11</f>
        <v>4.1599353600000004</v>
      </c>
      <c r="R74" s="58">
        <f>SUM(Q74:Q74)</f>
        <v>4.1599353600000004</v>
      </c>
      <c r="S74" s="538"/>
      <c r="T74" s="538"/>
      <c r="U74" s="547"/>
      <c r="V74" s="11">
        <f t="shared" si="5"/>
        <v>0</v>
      </c>
      <c r="W74" s="11">
        <f t="shared" si="1"/>
        <v>0</v>
      </c>
      <c r="X74" s="263"/>
      <c r="Y74" s="103"/>
      <c r="Z74" s="103"/>
    </row>
    <row r="75" spans="1:26" ht="27" customHeight="1">
      <c r="A75" s="540">
        <f t="shared" ref="A75" si="6">+A73+1</f>
        <v>23</v>
      </c>
      <c r="B75" s="541" t="s">
        <v>55</v>
      </c>
      <c r="C75" s="542" t="s">
        <v>185</v>
      </c>
      <c r="D75" s="543" t="s">
        <v>56</v>
      </c>
      <c r="E75" s="544">
        <v>1107</v>
      </c>
      <c r="F75" s="538">
        <v>0.27</v>
      </c>
      <c r="G75" s="538"/>
      <c r="H75" s="538"/>
      <c r="I75" s="538">
        <v>0.17</v>
      </c>
      <c r="J75" s="538"/>
      <c r="K75" s="538"/>
      <c r="L75" s="258"/>
      <c r="M75" s="259"/>
      <c r="N75" s="260"/>
      <c r="O75" s="260"/>
      <c r="P75" s="276"/>
      <c r="Q75" s="262"/>
      <c r="R75" s="58">
        <f>F76+I76</f>
        <v>1.1918313</v>
      </c>
      <c r="S75" s="538">
        <f>R75+R76</f>
        <v>4.6176604200000009</v>
      </c>
      <c r="T75" s="538">
        <f>E75*S75</f>
        <v>5111.7500849400012</v>
      </c>
      <c r="U75" s="547">
        <f>E75*R76</f>
        <v>3792.3928358400008</v>
      </c>
      <c r="V75" s="11">
        <f t="shared" si="5"/>
        <v>6.1562479411489237</v>
      </c>
      <c r="W75" s="11">
        <f t="shared" si="1"/>
        <v>6814.9664708518585</v>
      </c>
      <c r="X75" s="263"/>
      <c r="Y75" s="103"/>
      <c r="Z75" s="103"/>
    </row>
    <row r="76" spans="1:26" ht="27" hidden="1" customHeight="1">
      <c r="A76" s="540"/>
      <c r="B76" s="541"/>
      <c r="C76" s="542"/>
      <c r="D76" s="543"/>
      <c r="E76" s="544"/>
      <c r="F76" s="538">
        <f>F75*$J$13/1000</f>
        <v>0.66361409999999998</v>
      </c>
      <c r="G76" s="538"/>
      <c r="H76" s="538"/>
      <c r="I76" s="538">
        <f>I75*$Q$13/1000</f>
        <v>0.52821720000000005</v>
      </c>
      <c r="J76" s="538"/>
      <c r="K76" s="538"/>
      <c r="L76" s="274" t="s">
        <v>89</v>
      </c>
      <c r="M76" s="259" t="s">
        <v>56</v>
      </c>
      <c r="N76" s="58">
        <v>1</v>
      </c>
      <c r="O76" s="260">
        <f>E75*N76</f>
        <v>1107</v>
      </c>
      <c r="P76" s="265">
        <v>2.94</v>
      </c>
      <c r="Q76" s="58">
        <f>N76*P76*$N$11</f>
        <v>3.4258291200000008</v>
      </c>
      <c r="R76" s="58">
        <f>SUM(Q76:Q76)</f>
        <v>3.4258291200000008</v>
      </c>
      <c r="S76" s="538"/>
      <c r="T76" s="538"/>
      <c r="U76" s="547"/>
      <c r="V76" s="11">
        <f t="shared" si="5"/>
        <v>0</v>
      </c>
      <c r="W76" s="11">
        <f t="shared" si="1"/>
        <v>0</v>
      </c>
      <c r="X76" s="263"/>
      <c r="Y76" s="103"/>
      <c r="Z76" s="103"/>
    </row>
    <row r="77" spans="1:26" ht="27" customHeight="1">
      <c r="A77" s="540">
        <f t="shared" ref="A77" si="7">+A75+1</f>
        <v>24</v>
      </c>
      <c r="B77" s="541" t="s">
        <v>55</v>
      </c>
      <c r="C77" s="542" t="s">
        <v>186</v>
      </c>
      <c r="D77" s="543" t="s">
        <v>56</v>
      </c>
      <c r="E77" s="544">
        <v>583</v>
      </c>
      <c r="F77" s="538">
        <v>0.27</v>
      </c>
      <c r="G77" s="538"/>
      <c r="H77" s="538"/>
      <c r="I77" s="538">
        <v>0.17</v>
      </c>
      <c r="J77" s="538"/>
      <c r="K77" s="538"/>
      <c r="L77" s="258"/>
      <c r="M77" s="259"/>
      <c r="N77" s="260"/>
      <c r="O77" s="260"/>
      <c r="P77" s="276"/>
      <c r="Q77" s="262"/>
      <c r="R77" s="58">
        <f>F78+I78</f>
        <v>1.1918313</v>
      </c>
      <c r="S77" s="538">
        <f>R77+R78</f>
        <v>3.3475401000000007</v>
      </c>
      <c r="T77" s="538">
        <f>E77*S77</f>
        <v>1951.6158783000003</v>
      </c>
      <c r="U77" s="547">
        <f>E77*R78</f>
        <v>1256.7782304000004</v>
      </c>
      <c r="V77" s="11">
        <f t="shared" si="5"/>
        <v>4.4629281874604505</v>
      </c>
      <c r="W77" s="11">
        <f t="shared" si="1"/>
        <v>2601.8871332894428</v>
      </c>
      <c r="X77" s="263"/>
      <c r="Y77" s="103"/>
      <c r="Z77" s="103"/>
    </row>
    <row r="78" spans="1:26" ht="27" hidden="1" customHeight="1">
      <c r="A78" s="540"/>
      <c r="B78" s="541"/>
      <c r="C78" s="542"/>
      <c r="D78" s="543"/>
      <c r="E78" s="544"/>
      <c r="F78" s="538">
        <f>F77*$J$13/1000</f>
        <v>0.66361409999999998</v>
      </c>
      <c r="G78" s="538"/>
      <c r="H78" s="538"/>
      <c r="I78" s="538">
        <f>I77*$Q$13/1000</f>
        <v>0.52821720000000005</v>
      </c>
      <c r="J78" s="538"/>
      <c r="K78" s="538"/>
      <c r="L78" s="274" t="s">
        <v>90</v>
      </c>
      <c r="M78" s="259" t="s">
        <v>56</v>
      </c>
      <c r="N78" s="58">
        <v>1</v>
      </c>
      <c r="O78" s="260">
        <f>E77*N78</f>
        <v>583</v>
      </c>
      <c r="P78" s="277">
        <v>1.85</v>
      </c>
      <c r="Q78" s="58">
        <f>N78*P78*$N$11</f>
        <v>2.1557088000000006</v>
      </c>
      <c r="R78" s="58">
        <f>SUM(Q78:Q78)</f>
        <v>2.1557088000000006</v>
      </c>
      <c r="S78" s="538"/>
      <c r="T78" s="538"/>
      <c r="U78" s="547"/>
      <c r="V78" s="11">
        <f t="shared" si="5"/>
        <v>0</v>
      </c>
      <c r="W78" s="11">
        <f t="shared" si="1"/>
        <v>0</v>
      </c>
      <c r="X78" s="263"/>
      <c r="Y78" s="103"/>
      <c r="Z78" s="103"/>
    </row>
    <row r="79" spans="1:26" ht="27" customHeight="1">
      <c r="A79" s="540">
        <f t="shared" ref="A79" si="8">+A77+1</f>
        <v>25</v>
      </c>
      <c r="B79" s="541" t="s">
        <v>91</v>
      </c>
      <c r="C79" s="542" t="s">
        <v>187</v>
      </c>
      <c r="D79" s="543" t="s">
        <v>56</v>
      </c>
      <c r="E79" s="544">
        <v>997</v>
      </c>
      <c r="F79" s="538">
        <v>0.25</v>
      </c>
      <c r="G79" s="538"/>
      <c r="H79" s="538"/>
      <c r="I79" s="538">
        <v>0.16</v>
      </c>
      <c r="J79" s="538"/>
      <c r="K79" s="538"/>
      <c r="L79" s="258"/>
      <c r="M79" s="259"/>
      <c r="N79" s="260"/>
      <c r="O79" s="260"/>
      <c r="P79" s="276"/>
      <c r="Q79" s="262"/>
      <c r="R79" s="58">
        <f>F80+I80</f>
        <v>1.1116031</v>
      </c>
      <c r="S79" s="538">
        <f>R79+R80</f>
        <v>2.9620169240000003</v>
      </c>
      <c r="T79" s="538">
        <f>E79*S79</f>
        <v>2953.1308732280004</v>
      </c>
      <c r="U79" s="547">
        <f>E79*R80</f>
        <v>1844.8625825280005</v>
      </c>
      <c r="V79" s="11">
        <f t="shared" si="5"/>
        <v>3.9489501027499259</v>
      </c>
      <c r="W79" s="11">
        <f t="shared" si="1"/>
        <v>3937.103252441676</v>
      </c>
      <c r="X79" s="263"/>
      <c r="Y79" s="103"/>
      <c r="Z79" s="103"/>
    </row>
    <row r="80" spans="1:26" ht="27" hidden="1" customHeight="1">
      <c r="A80" s="540"/>
      <c r="B80" s="541"/>
      <c r="C80" s="542"/>
      <c r="D80" s="543"/>
      <c r="E80" s="544"/>
      <c r="F80" s="538">
        <f>F79*$J$13/1000</f>
        <v>0.61445749999999999</v>
      </c>
      <c r="G80" s="538"/>
      <c r="H80" s="538"/>
      <c r="I80" s="538">
        <f>I79*$Q$13/1000</f>
        <v>0.49714560000000002</v>
      </c>
      <c r="J80" s="538"/>
      <c r="K80" s="538"/>
      <c r="L80" s="274" t="s">
        <v>92</v>
      </c>
      <c r="M80" s="259" t="s">
        <v>56</v>
      </c>
      <c r="N80" s="58">
        <v>1</v>
      </c>
      <c r="O80" s="260">
        <f>E79*N80</f>
        <v>997</v>
      </c>
      <c r="P80" s="277">
        <v>1.5880000000000001</v>
      </c>
      <c r="Q80" s="58">
        <f>N80*P80*$N$11</f>
        <v>1.8504138240000005</v>
      </c>
      <c r="R80" s="58">
        <f>SUM(Q80:Q80)</f>
        <v>1.8504138240000005</v>
      </c>
      <c r="S80" s="538"/>
      <c r="T80" s="538"/>
      <c r="U80" s="547"/>
      <c r="V80" s="11">
        <f t="shared" si="5"/>
        <v>0</v>
      </c>
      <c r="W80" s="11">
        <f t="shared" si="1"/>
        <v>0</v>
      </c>
      <c r="X80" s="263"/>
      <c r="Y80" s="103"/>
      <c r="Z80" s="103"/>
    </row>
    <row r="81" spans="1:26" ht="19.5" customHeight="1">
      <c r="A81" s="540">
        <f>+A79+1</f>
        <v>26</v>
      </c>
      <c r="B81" s="541" t="s">
        <v>93</v>
      </c>
      <c r="C81" s="542" t="s">
        <v>94</v>
      </c>
      <c r="D81" s="543" t="s">
        <v>95</v>
      </c>
      <c r="E81" s="564">
        <f>5623+86</f>
        <v>5709</v>
      </c>
      <c r="F81" s="546">
        <f>0.001*5</f>
        <v>5.0000000000000001E-3</v>
      </c>
      <c r="G81" s="546"/>
      <c r="H81" s="546"/>
      <c r="I81" s="538">
        <f>0.001*20</f>
        <v>0.02</v>
      </c>
      <c r="J81" s="538"/>
      <c r="K81" s="538"/>
      <c r="L81" s="278"/>
      <c r="M81" s="259"/>
      <c r="N81" s="260"/>
      <c r="O81" s="260"/>
      <c r="P81" s="260"/>
      <c r="Q81" s="58"/>
      <c r="R81" s="58">
        <f>F82+I82</f>
        <v>7.4432350000000008E-2</v>
      </c>
      <c r="S81" s="538">
        <f>R81+R82</f>
        <v>0.10549320068800001</v>
      </c>
      <c r="T81" s="538">
        <f>E81*S81</f>
        <v>602.26068272779207</v>
      </c>
      <c r="U81" s="538">
        <f>R82*E81</f>
        <v>177.32639657779202</v>
      </c>
      <c r="V81" s="11">
        <f t="shared" si="5"/>
        <v>0.140643148363151</v>
      </c>
      <c r="W81" s="11">
        <f t="shared" si="1"/>
        <v>802.93173400522903</v>
      </c>
      <c r="X81" s="279"/>
      <c r="Y81" s="108"/>
      <c r="Z81" s="108"/>
    </row>
    <row r="82" spans="1:26" ht="19.5" hidden="1" customHeight="1">
      <c r="A82" s="540"/>
      <c r="B82" s="541"/>
      <c r="C82" s="542"/>
      <c r="D82" s="543"/>
      <c r="E82" s="564"/>
      <c r="F82" s="546">
        <f>F81*J$13/1000</f>
        <v>1.2289149999999999E-2</v>
      </c>
      <c r="G82" s="546"/>
      <c r="H82" s="546"/>
      <c r="I82" s="546">
        <f>I81*$Q$13/1000</f>
        <v>6.2143200000000003E-2</v>
      </c>
      <c r="J82" s="546"/>
      <c r="K82" s="546"/>
      <c r="L82" s="274" t="s">
        <v>8</v>
      </c>
      <c r="M82" s="259" t="s">
        <v>96</v>
      </c>
      <c r="N82" s="58">
        <v>1E-3</v>
      </c>
      <c r="O82" s="260">
        <f>E81*N82</f>
        <v>5.7090000000000005</v>
      </c>
      <c r="P82" s="277">
        <v>26.655999999999999</v>
      </c>
      <c r="Q82" s="58">
        <f>N82*P82*$N$11</f>
        <v>3.1060850688000005E-2</v>
      </c>
      <c r="R82" s="58">
        <f>Q82</f>
        <v>3.1060850688000005E-2</v>
      </c>
      <c r="S82" s="538"/>
      <c r="T82" s="538"/>
      <c r="U82" s="538"/>
      <c r="V82" s="11">
        <f t="shared" si="5"/>
        <v>0</v>
      </c>
      <c r="W82" s="11">
        <f t="shared" si="1"/>
        <v>0</v>
      </c>
      <c r="X82" s="279"/>
      <c r="Y82" s="108"/>
      <c r="Z82" s="108"/>
    </row>
    <row r="83" spans="1:26" ht="19.5" customHeight="1">
      <c r="A83" s="540">
        <f>+A81+1</f>
        <v>27</v>
      </c>
      <c r="B83" s="541" t="s">
        <v>97</v>
      </c>
      <c r="C83" s="542" t="s">
        <v>98</v>
      </c>
      <c r="D83" s="543" t="s">
        <v>80</v>
      </c>
      <c r="E83" s="544">
        <v>4</v>
      </c>
      <c r="F83" s="590">
        <v>1.3</v>
      </c>
      <c r="G83" s="590"/>
      <c r="H83" s="590"/>
      <c r="I83" s="590">
        <v>2</v>
      </c>
      <c r="J83" s="590"/>
      <c r="K83" s="590"/>
      <c r="L83" s="278"/>
      <c r="M83" s="259"/>
      <c r="N83" s="260"/>
      <c r="O83" s="260"/>
      <c r="P83" s="260"/>
      <c r="Q83" s="58"/>
      <c r="R83" s="58">
        <f>F84+I84</f>
        <v>9.4094990000000003</v>
      </c>
      <c r="S83" s="538">
        <f>R83+R84</f>
        <v>11.322836216000001</v>
      </c>
      <c r="T83" s="538">
        <f>E83*S83</f>
        <v>45.291344864000003</v>
      </c>
      <c r="U83" s="547">
        <f>+R84*E83</f>
        <v>7.6533488640000016</v>
      </c>
      <c r="V83" s="11">
        <f t="shared" si="5"/>
        <v>15.095563727641208</v>
      </c>
      <c r="W83" s="11">
        <f t="shared" si="1"/>
        <v>60.382254910564832</v>
      </c>
      <c r="X83" s="279"/>
      <c r="Y83" s="108"/>
      <c r="Z83" s="108"/>
    </row>
    <row r="84" spans="1:26" ht="19.5" hidden="1" customHeight="1">
      <c r="A84" s="540"/>
      <c r="B84" s="541"/>
      <c r="C84" s="542"/>
      <c r="D84" s="543"/>
      <c r="E84" s="544"/>
      <c r="F84" s="590">
        <f>F83*J$13/1000</f>
        <v>3.195179</v>
      </c>
      <c r="G84" s="590"/>
      <c r="H84" s="590"/>
      <c r="I84" s="590">
        <f>I83*$Q$13/1000</f>
        <v>6.2143199999999998</v>
      </c>
      <c r="J84" s="590"/>
      <c r="K84" s="590"/>
      <c r="L84" s="274" t="s">
        <v>8</v>
      </c>
      <c r="M84" s="259" t="s">
        <v>80</v>
      </c>
      <c r="N84" s="280">
        <v>1</v>
      </c>
      <c r="O84" s="260">
        <f>E83*N84</f>
        <v>4</v>
      </c>
      <c r="P84" s="277">
        <v>1.6419999999999999</v>
      </c>
      <c r="Q84" s="58">
        <f>N84*P84*$N$11</f>
        <v>1.9133372160000004</v>
      </c>
      <c r="R84" s="58">
        <f>SUM(Q84:Q84)</f>
        <v>1.9133372160000004</v>
      </c>
      <c r="S84" s="538"/>
      <c r="T84" s="538"/>
      <c r="U84" s="547"/>
      <c r="V84" s="11">
        <f t="shared" si="5"/>
        <v>0</v>
      </c>
      <c r="W84" s="11">
        <f t="shared" si="1"/>
        <v>0</v>
      </c>
      <c r="X84" s="279"/>
      <c r="Y84" s="108"/>
      <c r="Z84" s="108"/>
    </row>
    <row r="85" spans="1:26" ht="19.5" customHeight="1">
      <c r="A85" s="540">
        <f>+A83+1</f>
        <v>28</v>
      </c>
      <c r="B85" s="541" t="s">
        <v>99</v>
      </c>
      <c r="C85" s="542" t="s">
        <v>100</v>
      </c>
      <c r="D85" s="543" t="s">
        <v>101</v>
      </c>
      <c r="E85" s="564">
        <f>1850+800</f>
        <v>2650</v>
      </c>
      <c r="F85" s="546">
        <f>4.1/100</f>
        <v>4.0999999999999995E-2</v>
      </c>
      <c r="G85" s="546"/>
      <c r="H85" s="546"/>
      <c r="I85" s="546">
        <f>0.4/100</f>
        <v>4.0000000000000001E-3</v>
      </c>
      <c r="J85" s="546"/>
      <c r="K85" s="546"/>
      <c r="L85" s="281"/>
      <c r="M85" s="259"/>
      <c r="N85" s="260"/>
      <c r="O85" s="260"/>
      <c r="P85" s="260"/>
      <c r="Q85" s="58"/>
      <c r="R85" s="58">
        <f>F86+I86</f>
        <v>0.11319966999999999</v>
      </c>
      <c r="S85" s="538">
        <f>R85+R86</f>
        <v>0.21292763586666669</v>
      </c>
      <c r="T85" s="538">
        <f>E85*S85</f>
        <v>564.25823504666675</v>
      </c>
      <c r="U85" s="538">
        <f>R86*E85</f>
        <v>264.27910954666669</v>
      </c>
      <c r="V85" s="11">
        <f t="shared" ref="V85:V116" si="9">+$V$14*S85</f>
        <v>0.28387434343166235</v>
      </c>
      <c r="W85" s="11">
        <f t="shared" ref="W85:W147" si="10">+V85*E85</f>
        <v>752.26701009390524</v>
      </c>
      <c r="X85" s="282"/>
      <c r="Y85" s="113"/>
      <c r="Z85" s="103"/>
    </row>
    <row r="86" spans="1:26" ht="19.5" hidden="1" customHeight="1">
      <c r="A86" s="540"/>
      <c r="B86" s="541"/>
      <c r="C86" s="542"/>
      <c r="D86" s="543"/>
      <c r="E86" s="564"/>
      <c r="F86" s="538">
        <f>F85*J$13/1000</f>
        <v>0.10077102999999998</v>
      </c>
      <c r="G86" s="538"/>
      <c r="H86" s="538"/>
      <c r="I86" s="538">
        <f>I85*$Q$13/1000</f>
        <v>1.2428639999999999E-2</v>
      </c>
      <c r="J86" s="538"/>
      <c r="K86" s="538"/>
      <c r="L86" s="274" t="s">
        <v>102</v>
      </c>
      <c r="M86" s="259" t="s">
        <v>61</v>
      </c>
      <c r="N86" s="58">
        <v>0.03</v>
      </c>
      <c r="O86" s="260">
        <f>E85*N86</f>
        <v>79.5</v>
      </c>
      <c r="P86" s="277">
        <f>0.542*2</f>
        <v>1.0840000000000001</v>
      </c>
      <c r="Q86" s="58">
        <f>N86*P86*$N$11</f>
        <v>3.7893864960000009E-2</v>
      </c>
      <c r="R86" s="538">
        <f>SUM(Q86:Q87)</f>
        <v>9.9727965866666685E-2</v>
      </c>
      <c r="S86" s="538"/>
      <c r="T86" s="538"/>
      <c r="U86" s="538"/>
      <c r="V86" s="11">
        <f t="shared" si="9"/>
        <v>0</v>
      </c>
      <c r="W86" s="11">
        <f t="shared" si="10"/>
        <v>0</v>
      </c>
      <c r="X86" s="282"/>
      <c r="Y86" s="113"/>
      <c r="Z86" s="103"/>
    </row>
    <row r="87" spans="1:26" ht="19.5" hidden="1" customHeight="1">
      <c r="A87" s="540"/>
      <c r="B87" s="541"/>
      <c r="C87" s="542"/>
      <c r="D87" s="543"/>
      <c r="E87" s="564"/>
      <c r="F87" s="538"/>
      <c r="G87" s="538"/>
      <c r="H87" s="538"/>
      <c r="I87" s="538"/>
      <c r="J87" s="538"/>
      <c r="K87" s="538"/>
      <c r="L87" s="274" t="s">
        <v>103</v>
      </c>
      <c r="M87" s="259" t="s">
        <v>61</v>
      </c>
      <c r="N87" s="277">
        <f>17.2/100</f>
        <v>0.17199999999999999</v>
      </c>
      <c r="O87" s="260">
        <f>E85*N87</f>
        <v>455.79999999999995</v>
      </c>
      <c r="P87" s="283">
        <f>0.833/2.7</f>
        <v>0.30851851851851847</v>
      </c>
      <c r="Q87" s="58">
        <f>N87*P87*$N$11</f>
        <v>6.1834100906666668E-2</v>
      </c>
      <c r="R87" s="538"/>
      <c r="S87" s="538"/>
      <c r="T87" s="538"/>
      <c r="U87" s="538"/>
      <c r="V87" s="11">
        <f t="shared" si="9"/>
        <v>0</v>
      </c>
      <c r="W87" s="11">
        <f t="shared" si="10"/>
        <v>0</v>
      </c>
      <c r="X87" s="282"/>
      <c r="Y87" s="113"/>
      <c r="Z87" s="113"/>
    </row>
    <row r="88" spans="1:26" ht="19.5" customHeight="1">
      <c r="A88" s="540">
        <f>+A85+1</f>
        <v>29</v>
      </c>
      <c r="B88" s="541" t="s">
        <v>104</v>
      </c>
      <c r="C88" s="542" t="s">
        <v>105</v>
      </c>
      <c r="D88" s="543" t="s">
        <v>101</v>
      </c>
      <c r="E88" s="564">
        <f>+E85</f>
        <v>2650</v>
      </c>
      <c r="F88" s="546">
        <f>21.4/100</f>
        <v>0.214</v>
      </c>
      <c r="G88" s="546"/>
      <c r="H88" s="546"/>
      <c r="I88" s="589">
        <f>0.03/100</f>
        <v>2.9999999999999997E-4</v>
      </c>
      <c r="J88" s="589"/>
      <c r="K88" s="589"/>
      <c r="L88" s="281"/>
      <c r="M88" s="259"/>
      <c r="N88" s="260"/>
      <c r="O88" s="260"/>
      <c r="P88" s="260"/>
      <c r="Q88" s="58"/>
      <c r="R88" s="58">
        <f>F89+I89</f>
        <v>0.52690776799999994</v>
      </c>
      <c r="S88" s="538">
        <f>R88+R89</f>
        <v>0.92454864800000003</v>
      </c>
      <c r="T88" s="538">
        <f>E88*S88</f>
        <v>2450.0539171999999</v>
      </c>
      <c r="U88" s="538">
        <f>R89*E88</f>
        <v>1053.7483320000003</v>
      </c>
      <c r="V88" s="11">
        <f t="shared" si="9"/>
        <v>1.2326048676273211</v>
      </c>
      <c r="W88" s="11">
        <f t="shared" si="10"/>
        <v>3266.4028992124008</v>
      </c>
      <c r="X88" s="282"/>
      <c r="Y88" s="113"/>
      <c r="Z88" s="103"/>
    </row>
    <row r="89" spans="1:26" ht="19.5" hidden="1" customHeight="1">
      <c r="A89" s="540"/>
      <c r="B89" s="541"/>
      <c r="C89" s="542"/>
      <c r="D89" s="543"/>
      <c r="E89" s="564"/>
      <c r="F89" s="538">
        <f>F88*J$13/1000</f>
        <v>0.52597561999999998</v>
      </c>
      <c r="G89" s="538"/>
      <c r="H89" s="538"/>
      <c r="I89" s="589">
        <f>I88*$Q$13/1000</f>
        <v>9.3214799999999983E-4</v>
      </c>
      <c r="J89" s="589"/>
      <c r="K89" s="589"/>
      <c r="L89" s="274" t="s">
        <v>106</v>
      </c>
      <c r="M89" s="259" t="s">
        <v>61</v>
      </c>
      <c r="N89" s="277">
        <f>27.3/100</f>
        <v>0.27300000000000002</v>
      </c>
      <c r="O89" s="260">
        <f>E88*N89</f>
        <v>723.45</v>
      </c>
      <c r="P89" s="277">
        <v>1.25</v>
      </c>
      <c r="Q89" s="58">
        <f>N89*P89*$N$11</f>
        <v>0.39764088000000014</v>
      </c>
      <c r="R89" s="58">
        <f>SUM(Q89:Q89)</f>
        <v>0.39764088000000014</v>
      </c>
      <c r="S89" s="538"/>
      <c r="T89" s="538"/>
      <c r="U89" s="538"/>
      <c r="V89" s="11">
        <f t="shared" si="9"/>
        <v>0</v>
      </c>
      <c r="W89" s="11">
        <f t="shared" si="10"/>
        <v>0</v>
      </c>
      <c r="X89" s="282"/>
      <c r="Y89" s="113"/>
      <c r="Z89" s="103"/>
    </row>
    <row r="90" spans="1:26" ht="19.5" customHeight="1">
      <c r="A90" s="540">
        <f>+A88+1</f>
        <v>30</v>
      </c>
      <c r="B90" s="541" t="s">
        <v>107</v>
      </c>
      <c r="C90" s="542" t="s">
        <v>108</v>
      </c>
      <c r="D90" s="543" t="s">
        <v>61</v>
      </c>
      <c r="E90" s="564">
        <f>30+481.9+53.2+280+108+31+30+24+8.8+5.8+32.2+9.2+1.5+9.6+7.8+5.2+7.2+3.6+6.3+6+0.8+0.4+2.4</f>
        <v>1144.8999999999999</v>
      </c>
      <c r="F90" s="546">
        <f>0.001*190</f>
        <v>0.19</v>
      </c>
      <c r="G90" s="546"/>
      <c r="H90" s="546"/>
      <c r="I90" s="546">
        <f>0.001*162</f>
        <v>0.16200000000000001</v>
      </c>
      <c r="J90" s="546"/>
      <c r="K90" s="546"/>
      <c r="L90" s="278"/>
      <c r="M90" s="259"/>
      <c r="N90" s="260"/>
      <c r="O90" s="260"/>
      <c r="P90" s="260"/>
      <c r="Q90" s="58"/>
      <c r="R90" s="58">
        <f>F91+I91</f>
        <v>0.97034761999999997</v>
      </c>
      <c r="S90" s="538">
        <f>R90+R91</f>
        <v>2.3686452200000003</v>
      </c>
      <c r="T90" s="538">
        <f>E90*S90</f>
        <v>2711.8619123779999</v>
      </c>
      <c r="U90" s="538">
        <f>R91*E90</f>
        <v>1600.91092224</v>
      </c>
      <c r="V90" s="11">
        <f t="shared" si="9"/>
        <v>3.1578691225928734</v>
      </c>
      <c r="W90" s="11">
        <f t="shared" si="10"/>
        <v>3615.4443584565802</v>
      </c>
      <c r="X90" s="282"/>
      <c r="Y90" s="113"/>
      <c r="Z90" s="113"/>
    </row>
    <row r="91" spans="1:26" ht="19.5" hidden="1" customHeight="1">
      <c r="A91" s="540"/>
      <c r="B91" s="541"/>
      <c r="C91" s="542"/>
      <c r="D91" s="543"/>
      <c r="E91" s="564"/>
      <c r="F91" s="538">
        <f>F90*J$13/1000</f>
        <v>0.46698770000000001</v>
      </c>
      <c r="G91" s="538"/>
      <c r="H91" s="538"/>
      <c r="I91" s="538">
        <f>I90*$Q$13/1000</f>
        <v>0.50335991999999996</v>
      </c>
      <c r="J91" s="538"/>
      <c r="K91" s="538"/>
      <c r="L91" s="274" t="s">
        <v>109</v>
      </c>
      <c r="M91" s="259" t="s">
        <v>61</v>
      </c>
      <c r="N91" s="280">
        <v>1</v>
      </c>
      <c r="O91" s="260">
        <f>E90*N91</f>
        <v>1144.8999999999999</v>
      </c>
      <c r="P91" s="277">
        <v>1.2</v>
      </c>
      <c r="Q91" s="58">
        <f>N91*P91*$N$11</f>
        <v>1.3982976000000003</v>
      </c>
      <c r="R91" s="58">
        <f>SUM(Q91:Q91)</f>
        <v>1.3982976000000003</v>
      </c>
      <c r="S91" s="538"/>
      <c r="T91" s="538"/>
      <c r="U91" s="538"/>
      <c r="V91" s="11">
        <f t="shared" si="9"/>
        <v>0</v>
      </c>
      <c r="W91" s="11">
        <f t="shared" si="10"/>
        <v>0</v>
      </c>
      <c r="X91" s="282"/>
      <c r="Y91" s="113"/>
      <c r="Z91" s="113"/>
    </row>
    <row r="92" spans="1:26" ht="19.5" customHeight="1">
      <c r="A92" s="540">
        <f>+A90+1</f>
        <v>31</v>
      </c>
      <c r="B92" s="541" t="s">
        <v>110</v>
      </c>
      <c r="C92" s="583" t="s">
        <v>111</v>
      </c>
      <c r="D92" s="584" t="s">
        <v>61</v>
      </c>
      <c r="E92" s="584">
        <f>113.9+113.4+222.4+546+325.8+93.5+91.8+88.8+82.6</f>
        <v>1678.1999999999998</v>
      </c>
      <c r="F92" s="565">
        <f>0.001*14.8</f>
        <v>1.4800000000000001E-2</v>
      </c>
      <c r="G92" s="565"/>
      <c r="H92" s="565"/>
      <c r="I92" s="588">
        <f>0.001*4.98</f>
        <v>4.9800000000000009E-3</v>
      </c>
      <c r="J92" s="588"/>
      <c r="K92" s="588"/>
      <c r="L92" s="278"/>
      <c r="M92" s="259"/>
      <c r="N92" s="267"/>
      <c r="O92" s="260"/>
      <c r="P92" s="260"/>
      <c r="Q92" s="58"/>
      <c r="R92" s="123">
        <f>F93+I93</f>
        <v>5.1849540799999996E-2</v>
      </c>
      <c r="S92" s="582">
        <f>R92+R93</f>
        <v>0.70159182560000022</v>
      </c>
      <c r="T92" s="582">
        <f>E92*S92</f>
        <v>1177.4114017219201</v>
      </c>
      <c r="U92" s="582">
        <f>R93*E92</f>
        <v>1090.3975023513601</v>
      </c>
      <c r="V92" s="11">
        <f t="shared" si="9"/>
        <v>0.93535964948174244</v>
      </c>
      <c r="W92" s="11">
        <f t="shared" si="10"/>
        <v>1569.7205637602599</v>
      </c>
      <c r="X92" s="284"/>
      <c r="Y92" s="103"/>
      <c r="Z92" s="103"/>
    </row>
    <row r="93" spans="1:26" ht="19.5" hidden="1" customHeight="1">
      <c r="A93" s="540"/>
      <c r="B93" s="541"/>
      <c r="C93" s="583"/>
      <c r="D93" s="584"/>
      <c r="E93" s="584"/>
      <c r="F93" s="582">
        <f>F92*J$13/1000</f>
        <v>3.6375883999999997E-2</v>
      </c>
      <c r="G93" s="582"/>
      <c r="H93" s="582"/>
      <c r="I93" s="582">
        <f>I92*$Q$13/1000</f>
        <v>1.5473656800000003E-2</v>
      </c>
      <c r="J93" s="582"/>
      <c r="K93" s="582"/>
      <c r="L93" s="274" t="s">
        <v>112</v>
      </c>
      <c r="M93" s="259" t="s">
        <v>61</v>
      </c>
      <c r="N93" s="270">
        <v>1</v>
      </c>
      <c r="O93" s="260">
        <f>E92*N93</f>
        <v>1678.1999999999998</v>
      </c>
      <c r="P93" s="275">
        <v>0.55000000000000004</v>
      </c>
      <c r="Q93" s="58">
        <f>N93*P93*$N$11</f>
        <v>0.64088640000000019</v>
      </c>
      <c r="R93" s="582">
        <f>SUM(Q93:Q95)</f>
        <v>0.64974228480000018</v>
      </c>
      <c r="S93" s="582"/>
      <c r="T93" s="582"/>
      <c r="U93" s="582"/>
      <c r="V93" s="11">
        <f t="shared" si="9"/>
        <v>0</v>
      </c>
      <c r="W93" s="11">
        <f t="shared" si="10"/>
        <v>0</v>
      </c>
      <c r="X93" s="284"/>
      <c r="Y93" s="103"/>
      <c r="Z93" s="103"/>
    </row>
    <row r="94" spans="1:26" ht="19.5" hidden="1" customHeight="1">
      <c r="A94" s="540"/>
      <c r="B94" s="541"/>
      <c r="C94" s="583"/>
      <c r="D94" s="584"/>
      <c r="E94" s="584"/>
      <c r="F94" s="582"/>
      <c r="G94" s="582"/>
      <c r="H94" s="582"/>
      <c r="I94" s="582"/>
      <c r="J94" s="582"/>
      <c r="K94" s="582"/>
      <c r="L94" s="274" t="s">
        <v>113</v>
      </c>
      <c r="M94" s="259" t="s">
        <v>61</v>
      </c>
      <c r="N94" s="270">
        <v>4.0000000000000001E-3</v>
      </c>
      <c r="O94" s="260">
        <f>E92*N94</f>
        <v>6.7127999999999997</v>
      </c>
      <c r="P94" s="275">
        <v>0.9</v>
      </c>
      <c r="Q94" s="277">
        <f>N94*P94*$N$11</f>
        <v>4.1948928000000016E-3</v>
      </c>
      <c r="R94" s="582"/>
      <c r="S94" s="582"/>
      <c r="T94" s="582"/>
      <c r="U94" s="582"/>
      <c r="V94" s="11">
        <f t="shared" si="9"/>
        <v>0</v>
      </c>
      <c r="W94" s="11">
        <f t="shared" si="10"/>
        <v>0</v>
      </c>
      <c r="X94" s="284"/>
      <c r="Y94" s="103"/>
      <c r="Z94" s="103"/>
    </row>
    <row r="95" spans="1:26" ht="19.5" hidden="1" customHeight="1">
      <c r="A95" s="540"/>
      <c r="B95" s="541"/>
      <c r="C95" s="583"/>
      <c r="D95" s="584"/>
      <c r="E95" s="584"/>
      <c r="F95" s="582"/>
      <c r="G95" s="582"/>
      <c r="H95" s="582"/>
      <c r="I95" s="582"/>
      <c r="J95" s="582"/>
      <c r="K95" s="582"/>
      <c r="L95" s="274" t="s">
        <v>114</v>
      </c>
      <c r="M95" s="259" t="s">
        <v>61</v>
      </c>
      <c r="N95" s="270">
        <v>4.0000000000000001E-3</v>
      </c>
      <c r="O95" s="260">
        <f>E92*N95</f>
        <v>6.7127999999999997</v>
      </c>
      <c r="P95" s="275">
        <v>1</v>
      </c>
      <c r="Q95" s="58">
        <f>N95*P95*$N$11</f>
        <v>4.660992000000001E-3</v>
      </c>
      <c r="R95" s="582"/>
      <c r="S95" s="582"/>
      <c r="T95" s="582"/>
      <c r="U95" s="582"/>
      <c r="V95" s="11">
        <f t="shared" si="9"/>
        <v>0</v>
      </c>
      <c r="W95" s="11">
        <f t="shared" si="10"/>
        <v>0</v>
      </c>
      <c r="X95" s="284"/>
      <c r="Y95" s="103"/>
      <c r="Z95" s="103"/>
    </row>
    <row r="96" spans="1:26" ht="26.25" customHeight="1">
      <c r="A96" s="552">
        <f>+A92+1</f>
        <v>32</v>
      </c>
      <c r="B96" s="553" t="s">
        <v>115</v>
      </c>
      <c r="C96" s="554" t="s">
        <v>116</v>
      </c>
      <c r="D96" s="555" t="s">
        <v>37</v>
      </c>
      <c r="E96" s="556">
        <v>44.7</v>
      </c>
      <c r="F96" s="552">
        <f>205/100</f>
        <v>2.0499999999999998</v>
      </c>
      <c r="G96" s="552"/>
      <c r="H96" s="552"/>
      <c r="I96" s="587">
        <v>0</v>
      </c>
      <c r="J96" s="587"/>
      <c r="K96" s="587"/>
      <c r="L96" s="285"/>
      <c r="M96" s="251"/>
      <c r="N96" s="251"/>
      <c r="O96" s="251"/>
      <c r="P96" s="251"/>
      <c r="Q96" s="251"/>
      <c r="R96" s="549">
        <f>F97+I97</f>
        <v>5.0385514999999996</v>
      </c>
      <c r="S96" s="549">
        <f>R96+R97</f>
        <v>5.0385514999999996</v>
      </c>
      <c r="T96" s="549">
        <f>E96*S96</f>
        <v>225.22325204999999</v>
      </c>
      <c r="U96" s="586"/>
      <c r="V96" s="11">
        <f t="shared" si="9"/>
        <v>6.7173783857947296</v>
      </c>
      <c r="W96" s="11">
        <f t="shared" si="10"/>
        <v>300.26681384502444</v>
      </c>
      <c r="X96" s="254"/>
      <c r="Y96" s="133"/>
      <c r="Z96" s="134"/>
    </row>
    <row r="97" spans="1:26" ht="22.5" hidden="1" customHeight="1">
      <c r="A97" s="552"/>
      <c r="B97" s="553"/>
      <c r="C97" s="554"/>
      <c r="D97" s="555"/>
      <c r="E97" s="556"/>
      <c r="F97" s="550">
        <f>F96*$J$13/1000</f>
        <v>5.0385514999999996</v>
      </c>
      <c r="G97" s="550"/>
      <c r="H97" s="550"/>
      <c r="I97" s="587">
        <f>I96*$Q$13/1000</f>
        <v>0</v>
      </c>
      <c r="J97" s="587"/>
      <c r="K97" s="587"/>
      <c r="L97" s="285"/>
      <c r="M97" s="251"/>
      <c r="N97" s="251"/>
      <c r="O97" s="251"/>
      <c r="P97" s="251"/>
      <c r="Q97" s="251"/>
      <c r="R97" s="549"/>
      <c r="S97" s="549"/>
      <c r="T97" s="549"/>
      <c r="U97" s="586"/>
      <c r="V97" s="11">
        <f t="shared" si="9"/>
        <v>0</v>
      </c>
      <c r="W97" s="11">
        <f t="shared" si="10"/>
        <v>0</v>
      </c>
      <c r="X97" s="254"/>
      <c r="Y97" s="133"/>
      <c r="Z97" s="134"/>
    </row>
    <row r="98" spans="1:26" ht="24.75" customHeight="1">
      <c r="A98" s="552">
        <f>+A96+1</f>
        <v>33</v>
      </c>
      <c r="B98" s="553" t="s">
        <v>117</v>
      </c>
      <c r="C98" s="554" t="s">
        <v>118</v>
      </c>
      <c r="D98" s="555" t="s">
        <v>37</v>
      </c>
      <c r="E98" s="556">
        <v>104</v>
      </c>
      <c r="F98" s="550">
        <v>3.68</v>
      </c>
      <c r="G98" s="550"/>
      <c r="H98" s="550"/>
      <c r="I98" s="587">
        <v>0</v>
      </c>
      <c r="J98" s="587"/>
      <c r="K98" s="587"/>
      <c r="L98" s="285"/>
      <c r="M98" s="251"/>
      <c r="N98" s="251"/>
      <c r="O98" s="251"/>
      <c r="P98" s="251"/>
      <c r="Q98" s="251"/>
      <c r="R98" s="549">
        <f>F99+I99</f>
        <v>9.0448143999999999</v>
      </c>
      <c r="S98" s="549">
        <f>R98+R99</f>
        <v>9.0448143999999999</v>
      </c>
      <c r="T98" s="549">
        <f>E98*S98</f>
        <v>940.66069760000005</v>
      </c>
      <c r="U98" s="586"/>
      <c r="V98" s="11">
        <f t="shared" si="9"/>
        <v>12.058513394987614</v>
      </c>
      <c r="W98" s="11">
        <f t="shared" si="10"/>
        <v>1254.0853930787118</v>
      </c>
      <c r="X98" s="254"/>
      <c r="Y98" s="133"/>
      <c r="Z98" s="134"/>
    </row>
    <row r="99" spans="1:26" ht="22.5" hidden="1" customHeight="1">
      <c r="A99" s="552"/>
      <c r="B99" s="553"/>
      <c r="C99" s="554"/>
      <c r="D99" s="555"/>
      <c r="E99" s="556"/>
      <c r="F99" s="550">
        <f>F98*$J$13/1000</f>
        <v>9.0448143999999999</v>
      </c>
      <c r="G99" s="550"/>
      <c r="H99" s="550"/>
      <c r="I99" s="587">
        <f>I98*$Q$13/1000</f>
        <v>0</v>
      </c>
      <c r="J99" s="587"/>
      <c r="K99" s="587"/>
      <c r="L99" s="285"/>
      <c r="M99" s="251"/>
      <c r="N99" s="251"/>
      <c r="O99" s="251"/>
      <c r="P99" s="251"/>
      <c r="Q99" s="251"/>
      <c r="R99" s="549"/>
      <c r="S99" s="549"/>
      <c r="T99" s="549"/>
      <c r="U99" s="586"/>
      <c r="V99" s="11">
        <f t="shared" si="9"/>
        <v>0</v>
      </c>
      <c r="W99" s="11">
        <f t="shared" si="10"/>
        <v>0</v>
      </c>
      <c r="X99" s="254"/>
      <c r="Y99" s="133"/>
      <c r="Z99" s="134"/>
    </row>
    <row r="100" spans="1:26" ht="22.5" customHeight="1">
      <c r="A100" s="552">
        <f>+A98+1</f>
        <v>34</v>
      </c>
      <c r="B100" s="553" t="s">
        <v>42</v>
      </c>
      <c r="C100" s="554" t="s">
        <v>119</v>
      </c>
      <c r="D100" s="555" t="s">
        <v>37</v>
      </c>
      <c r="E100" s="556">
        <v>27.5</v>
      </c>
      <c r="F100" s="550">
        <f>0.01*327</f>
        <v>3.27</v>
      </c>
      <c r="G100" s="550"/>
      <c r="H100" s="550"/>
      <c r="I100" s="550">
        <f>0.01*381</f>
        <v>3.81</v>
      </c>
      <c r="J100" s="550"/>
      <c r="K100" s="550"/>
      <c r="L100" s="285"/>
      <c r="M100" s="251"/>
      <c r="N100" s="251"/>
      <c r="O100" s="251"/>
      <c r="P100" s="251"/>
      <c r="Q100" s="251"/>
      <c r="R100" s="549">
        <f>F101+I101</f>
        <v>19.8753837</v>
      </c>
      <c r="S100" s="549">
        <f>R100+R101</f>
        <v>19.8753837</v>
      </c>
      <c r="T100" s="549">
        <f>E100*S100</f>
        <v>546.57305174999999</v>
      </c>
      <c r="U100" s="586"/>
      <c r="V100" s="11">
        <f t="shared" si="9"/>
        <v>26.497788675129527</v>
      </c>
      <c r="W100" s="11">
        <f t="shared" si="10"/>
        <v>728.68918856606206</v>
      </c>
      <c r="X100" s="254"/>
      <c r="Y100" s="133"/>
      <c r="Z100" s="27"/>
    </row>
    <row r="101" spans="1:26" ht="19.5" hidden="1" customHeight="1">
      <c r="A101" s="552"/>
      <c r="B101" s="553"/>
      <c r="C101" s="554"/>
      <c r="D101" s="555"/>
      <c r="E101" s="556"/>
      <c r="F101" s="550">
        <f>F100*$J$13/1000</f>
        <v>8.0371040999999988</v>
      </c>
      <c r="G101" s="550"/>
      <c r="H101" s="550"/>
      <c r="I101" s="550">
        <f>I100*$Q$13/1000</f>
        <v>11.8382796</v>
      </c>
      <c r="J101" s="550"/>
      <c r="K101" s="550"/>
      <c r="L101" s="285"/>
      <c r="M101" s="251"/>
      <c r="N101" s="251"/>
      <c r="O101" s="251"/>
      <c r="P101" s="251"/>
      <c r="Q101" s="251"/>
      <c r="R101" s="549"/>
      <c r="S101" s="549"/>
      <c r="T101" s="549"/>
      <c r="U101" s="586"/>
      <c r="V101" s="11">
        <f t="shared" si="9"/>
        <v>0</v>
      </c>
      <c r="W101" s="11">
        <f t="shared" si="10"/>
        <v>0</v>
      </c>
      <c r="X101" s="254"/>
      <c r="Y101" s="133"/>
      <c r="Z101" s="106"/>
    </row>
    <row r="102" spans="1:26" ht="30" customHeight="1">
      <c r="A102" s="540">
        <f>+A100+1</f>
        <v>35</v>
      </c>
      <c r="B102" s="541" t="s">
        <v>120</v>
      </c>
      <c r="C102" s="542" t="s">
        <v>121</v>
      </c>
      <c r="D102" s="543" t="s">
        <v>37</v>
      </c>
      <c r="E102" s="564">
        <v>176.2</v>
      </c>
      <c r="F102" s="546">
        <v>2.78</v>
      </c>
      <c r="G102" s="546"/>
      <c r="H102" s="546"/>
      <c r="I102" s="546">
        <v>0.34</v>
      </c>
      <c r="J102" s="546"/>
      <c r="K102" s="546"/>
      <c r="L102" s="278"/>
      <c r="M102" s="259"/>
      <c r="N102" s="267"/>
      <c r="O102" s="260"/>
      <c r="P102" s="260"/>
      <c r="Q102" s="58"/>
      <c r="R102" s="58">
        <f>F103+I103</f>
        <v>7.8892018000000004</v>
      </c>
      <c r="S102" s="538">
        <f>R102+R103</f>
        <v>45.856914352000018</v>
      </c>
      <c r="T102" s="538">
        <f>E102*S102</f>
        <v>8079.9883088224024</v>
      </c>
      <c r="U102" s="547">
        <f>E102*R103</f>
        <v>6689.9109516624021</v>
      </c>
      <c r="V102" s="11">
        <f t="shared" si="9"/>
        <v>61.136270078288391</v>
      </c>
      <c r="W102" s="11">
        <f t="shared" si="10"/>
        <v>10772.210787794415</v>
      </c>
      <c r="X102" s="286"/>
      <c r="Y102" s="106"/>
      <c r="Z102" s="106"/>
    </row>
    <row r="103" spans="1:26" ht="19.5" hidden="1" customHeight="1">
      <c r="A103" s="540"/>
      <c r="B103" s="541"/>
      <c r="C103" s="542"/>
      <c r="D103" s="543"/>
      <c r="E103" s="564"/>
      <c r="F103" s="538">
        <f>F102*$J$13/1000</f>
        <v>6.8327673999999998</v>
      </c>
      <c r="G103" s="538"/>
      <c r="H103" s="538"/>
      <c r="I103" s="538">
        <f>I102*$Q$13/1000</f>
        <v>1.0564344000000001</v>
      </c>
      <c r="J103" s="538"/>
      <c r="K103" s="538"/>
      <c r="L103" s="274" t="s">
        <v>122</v>
      </c>
      <c r="M103" s="259" t="s">
        <v>123</v>
      </c>
      <c r="N103" s="270">
        <v>1.02</v>
      </c>
      <c r="O103" s="260">
        <f>E102*N103</f>
        <v>179.72399999999999</v>
      </c>
      <c r="P103" s="275">
        <v>26.5</v>
      </c>
      <c r="Q103" s="58">
        <f>N103*P103*$N$11</f>
        <v>31.49665344000001</v>
      </c>
      <c r="R103" s="538">
        <f>SUM(Q103:Q105)</f>
        <v>37.967712552000016</v>
      </c>
      <c r="S103" s="538"/>
      <c r="T103" s="538"/>
      <c r="U103" s="547"/>
      <c r="V103" s="11">
        <f t="shared" si="9"/>
        <v>0</v>
      </c>
      <c r="W103" s="11">
        <f t="shared" si="10"/>
        <v>0</v>
      </c>
      <c r="X103" s="286"/>
      <c r="Y103" s="106"/>
      <c r="Z103" s="106"/>
    </row>
    <row r="104" spans="1:26" ht="19.5" hidden="1" customHeight="1">
      <c r="A104" s="540"/>
      <c r="B104" s="541"/>
      <c r="C104" s="542"/>
      <c r="D104" s="543"/>
      <c r="E104" s="564"/>
      <c r="F104" s="538"/>
      <c r="G104" s="538"/>
      <c r="H104" s="538"/>
      <c r="I104" s="538"/>
      <c r="J104" s="538"/>
      <c r="K104" s="538"/>
      <c r="L104" s="274" t="s">
        <v>124</v>
      </c>
      <c r="M104" s="259" t="s">
        <v>125</v>
      </c>
      <c r="N104" s="270">
        <v>1.17</v>
      </c>
      <c r="O104" s="260">
        <f>E102*N104</f>
        <v>206.15399999999997</v>
      </c>
      <c r="P104" s="275">
        <v>3.5</v>
      </c>
      <c r="Q104" s="58">
        <f>N104*P104*$N$11</f>
        <v>4.7716905600000006</v>
      </c>
      <c r="R104" s="538"/>
      <c r="S104" s="538"/>
      <c r="T104" s="538"/>
      <c r="U104" s="547"/>
      <c r="V104" s="11">
        <f t="shared" si="9"/>
        <v>0</v>
      </c>
      <c r="W104" s="11">
        <f t="shared" si="10"/>
        <v>0</v>
      </c>
      <c r="X104" s="286"/>
      <c r="Y104" s="106"/>
      <c r="Z104" s="106"/>
    </row>
    <row r="105" spans="1:26" ht="19.5" hidden="1" customHeight="1">
      <c r="A105" s="540"/>
      <c r="B105" s="541"/>
      <c r="C105" s="542"/>
      <c r="D105" s="543"/>
      <c r="E105" s="564"/>
      <c r="F105" s="538"/>
      <c r="G105" s="538"/>
      <c r="H105" s="538"/>
      <c r="I105" s="538"/>
      <c r="J105" s="538"/>
      <c r="K105" s="538"/>
      <c r="L105" s="274" t="s">
        <v>126</v>
      </c>
      <c r="M105" s="259" t="s">
        <v>123</v>
      </c>
      <c r="N105" s="270">
        <v>1.2500000000000001E-2</v>
      </c>
      <c r="O105" s="260">
        <f>E102*N105</f>
        <v>2.2025000000000001</v>
      </c>
      <c r="P105" s="260">
        <v>116.67</v>
      </c>
      <c r="Q105" s="58">
        <f>N105*P105*$N$11</f>
        <v>1.6993685520000006</v>
      </c>
      <c r="R105" s="538"/>
      <c r="S105" s="538"/>
      <c r="T105" s="538"/>
      <c r="U105" s="547"/>
      <c r="V105" s="11">
        <f t="shared" si="9"/>
        <v>0</v>
      </c>
      <c r="W105" s="11">
        <f t="shared" si="10"/>
        <v>0</v>
      </c>
      <c r="X105" s="286"/>
      <c r="Y105" s="106"/>
      <c r="Z105" s="106"/>
    </row>
    <row r="106" spans="1:26" ht="19.5" customHeight="1">
      <c r="A106" s="552">
        <f>+A102+1</f>
        <v>36</v>
      </c>
      <c r="B106" s="553" t="s">
        <v>127</v>
      </c>
      <c r="C106" s="571" t="s">
        <v>128</v>
      </c>
      <c r="D106" s="572" t="s">
        <v>49</v>
      </c>
      <c r="E106" s="585">
        <v>440.5</v>
      </c>
      <c r="F106" s="550">
        <v>0.4</v>
      </c>
      <c r="G106" s="550"/>
      <c r="H106" s="550"/>
      <c r="I106" s="550">
        <v>0.39</v>
      </c>
      <c r="J106" s="550"/>
      <c r="K106" s="550"/>
      <c r="L106" s="287"/>
      <c r="M106" s="288"/>
      <c r="N106" s="289"/>
      <c r="O106" s="289"/>
      <c r="P106" s="290"/>
      <c r="Q106" s="291"/>
      <c r="R106" s="566">
        <f>F107+I107</f>
        <v>2.1949244000000001</v>
      </c>
      <c r="S106" s="566">
        <f>R106+R107</f>
        <v>2.1949244000000001</v>
      </c>
      <c r="T106" s="566">
        <f>E106*S106</f>
        <v>966.86419820000003</v>
      </c>
      <c r="U106" s="566"/>
      <c r="V106" s="11">
        <f t="shared" si="9"/>
        <v>2.9262651623216449</v>
      </c>
      <c r="W106" s="11">
        <f t="shared" si="10"/>
        <v>1289.0198040026846</v>
      </c>
      <c r="X106" s="292"/>
      <c r="Y106" s="142"/>
      <c r="Z106" s="142"/>
    </row>
    <row r="107" spans="1:26" ht="19.5" hidden="1" customHeight="1">
      <c r="A107" s="552"/>
      <c r="B107" s="553"/>
      <c r="C107" s="571"/>
      <c r="D107" s="572"/>
      <c r="E107" s="585"/>
      <c r="F107" s="566">
        <f>F106*$J$13/1000</f>
        <v>0.98313200000000012</v>
      </c>
      <c r="G107" s="566"/>
      <c r="H107" s="566"/>
      <c r="I107" s="550">
        <f>I106*$Q$13/1000</f>
        <v>1.2117924</v>
      </c>
      <c r="J107" s="550"/>
      <c r="K107" s="550"/>
      <c r="L107" s="287"/>
      <c r="M107" s="288"/>
      <c r="N107" s="289"/>
      <c r="O107" s="289"/>
      <c r="P107" s="290"/>
      <c r="Q107" s="291"/>
      <c r="R107" s="566"/>
      <c r="S107" s="566"/>
      <c r="T107" s="566"/>
      <c r="U107" s="566"/>
      <c r="V107" s="11">
        <f t="shared" si="9"/>
        <v>0</v>
      </c>
      <c r="W107" s="11">
        <f t="shared" si="10"/>
        <v>0</v>
      </c>
      <c r="X107" s="292"/>
      <c r="Y107" s="142"/>
      <c r="Z107" s="142"/>
    </row>
    <row r="108" spans="1:26" ht="19.5" customHeight="1">
      <c r="A108" s="540">
        <f>+A106+1</f>
        <v>37</v>
      </c>
      <c r="B108" s="541" t="s">
        <v>110</v>
      </c>
      <c r="C108" s="583" t="s">
        <v>129</v>
      </c>
      <c r="D108" s="584" t="s">
        <v>61</v>
      </c>
      <c r="E108" s="584">
        <v>161.04</v>
      </c>
      <c r="F108" s="565">
        <f>0.001*14.8</f>
        <v>1.4800000000000001E-2</v>
      </c>
      <c r="G108" s="565"/>
      <c r="H108" s="565"/>
      <c r="I108" s="546">
        <f>0.001*4.98</f>
        <v>4.9800000000000009E-3</v>
      </c>
      <c r="J108" s="546"/>
      <c r="K108" s="546"/>
      <c r="L108" s="278"/>
      <c r="M108" s="259"/>
      <c r="N108" s="267"/>
      <c r="O108" s="260"/>
      <c r="P108" s="275"/>
      <c r="Q108" s="58"/>
      <c r="R108" s="123">
        <f>F109+I109</f>
        <v>5.1849540799999996E-2</v>
      </c>
      <c r="S108" s="582">
        <f>R108+R109</f>
        <v>0.49806133353459786</v>
      </c>
      <c r="T108" s="582">
        <f>E108*S108</f>
        <v>80.207797152411629</v>
      </c>
      <c r="U108" s="582">
        <f>R109*E108</f>
        <v>71.857947101979633</v>
      </c>
      <c r="V108" s="11">
        <f t="shared" si="9"/>
        <v>0.66401354371100652</v>
      </c>
      <c r="W108" s="11">
        <f t="shared" si="10"/>
        <v>106.93274107922048</v>
      </c>
      <c r="X108" s="284"/>
      <c r="Y108" s="103"/>
      <c r="Z108" s="103"/>
    </row>
    <row r="109" spans="1:26" ht="19.5" hidden="1" customHeight="1">
      <c r="A109" s="540"/>
      <c r="B109" s="541"/>
      <c r="C109" s="583"/>
      <c r="D109" s="584"/>
      <c r="E109" s="584"/>
      <c r="F109" s="582">
        <f>F108*J$13/1000</f>
        <v>3.6375883999999997E-2</v>
      </c>
      <c r="G109" s="582"/>
      <c r="H109" s="582"/>
      <c r="I109" s="582">
        <f>I108*$Q$13/1000</f>
        <v>1.5473656800000003E-2</v>
      </c>
      <c r="J109" s="582"/>
      <c r="K109" s="582"/>
      <c r="L109" s="274" t="s">
        <v>130</v>
      </c>
      <c r="M109" s="259" t="s">
        <v>61</v>
      </c>
      <c r="N109" s="270">
        <v>1</v>
      </c>
      <c r="O109" s="260">
        <f>E108*N109</f>
        <v>161.04</v>
      </c>
      <c r="P109" s="275">
        <f>5.8/15.29</f>
        <v>0.37933289731850883</v>
      </c>
      <c r="Q109" s="58">
        <f>N109*P109*$N$11</f>
        <v>0.44201689993459786</v>
      </c>
      <c r="R109" s="582">
        <f>SUM(Q109:Q110)</f>
        <v>0.44621179273459788</v>
      </c>
      <c r="S109" s="582"/>
      <c r="T109" s="582"/>
      <c r="U109" s="582"/>
      <c r="V109" s="11">
        <f t="shared" si="9"/>
        <v>0</v>
      </c>
      <c r="W109" s="11">
        <f t="shared" si="10"/>
        <v>0</v>
      </c>
      <c r="X109" s="284"/>
      <c r="Y109" s="103"/>
      <c r="Z109" s="103"/>
    </row>
    <row r="110" spans="1:26" ht="19.5" hidden="1" customHeight="1">
      <c r="A110" s="540"/>
      <c r="B110" s="541"/>
      <c r="C110" s="583"/>
      <c r="D110" s="584"/>
      <c r="E110" s="584"/>
      <c r="F110" s="582"/>
      <c r="G110" s="582"/>
      <c r="H110" s="582"/>
      <c r="I110" s="582"/>
      <c r="J110" s="582"/>
      <c r="K110" s="582"/>
      <c r="L110" s="274" t="s">
        <v>113</v>
      </c>
      <c r="M110" s="259" t="s">
        <v>61</v>
      </c>
      <c r="N110" s="270">
        <v>4.0000000000000001E-3</v>
      </c>
      <c r="O110" s="275">
        <f>E108*N110</f>
        <v>0.64415999999999995</v>
      </c>
      <c r="P110" s="275">
        <v>0.9</v>
      </c>
      <c r="Q110" s="277">
        <f>N110*P110*$N$11</f>
        <v>4.1948928000000016E-3</v>
      </c>
      <c r="R110" s="582"/>
      <c r="S110" s="582"/>
      <c r="T110" s="582"/>
      <c r="U110" s="582"/>
      <c r="V110" s="11">
        <f t="shared" si="9"/>
        <v>0</v>
      </c>
      <c r="W110" s="11">
        <f t="shared" si="10"/>
        <v>0</v>
      </c>
      <c r="X110" s="284"/>
      <c r="Y110" s="103"/>
      <c r="Z110" s="103"/>
    </row>
    <row r="111" spans="1:26" ht="19.5" customHeight="1">
      <c r="A111" s="540">
        <f>+A108+1</f>
        <v>38</v>
      </c>
      <c r="B111" s="541" t="s">
        <v>110</v>
      </c>
      <c r="C111" s="583" t="s">
        <v>131</v>
      </c>
      <c r="D111" s="584" t="s">
        <v>61</v>
      </c>
      <c r="E111" s="584">
        <f>2655.12+1815.3+432.9+360.75+384.8</f>
        <v>5648.87</v>
      </c>
      <c r="F111" s="565">
        <f>0.001*14.8</f>
        <v>1.4800000000000001E-2</v>
      </c>
      <c r="G111" s="565"/>
      <c r="H111" s="565"/>
      <c r="I111" s="546">
        <f>0.001*4.98</f>
        <v>4.9800000000000009E-3</v>
      </c>
      <c r="J111" s="546"/>
      <c r="K111" s="546"/>
      <c r="L111" s="278"/>
      <c r="M111" s="259"/>
      <c r="N111" s="267"/>
      <c r="O111" s="260"/>
      <c r="P111" s="275"/>
      <c r="Q111" s="58"/>
      <c r="R111" s="123">
        <f>F112+I112</f>
        <v>5.1849540799999996E-2</v>
      </c>
      <c r="S111" s="582">
        <f>R111+R112</f>
        <v>0.49770363234312659</v>
      </c>
      <c r="T111" s="582">
        <f>E111*S111</f>
        <v>2811.4631176341172</v>
      </c>
      <c r="U111" s="582">
        <f>R112*E111</f>
        <v>2518.5718020952218</v>
      </c>
      <c r="V111" s="11">
        <f t="shared" si="9"/>
        <v>0.66353665779405957</v>
      </c>
      <c r="W111" s="11">
        <f t="shared" si="10"/>
        <v>3748.2323201131294</v>
      </c>
      <c r="X111" s="284"/>
      <c r="Y111" s="103"/>
      <c r="Z111" s="103"/>
    </row>
    <row r="112" spans="1:26" ht="19.5" hidden="1" customHeight="1">
      <c r="A112" s="540"/>
      <c r="B112" s="541"/>
      <c r="C112" s="583"/>
      <c r="D112" s="584"/>
      <c r="E112" s="584"/>
      <c r="F112" s="582">
        <f>F111*J$13/1000</f>
        <v>3.6375883999999997E-2</v>
      </c>
      <c r="G112" s="582"/>
      <c r="H112" s="582"/>
      <c r="I112" s="582">
        <f>I111*$Q$13/1000</f>
        <v>1.5473656800000003E-2</v>
      </c>
      <c r="J112" s="582"/>
      <c r="K112" s="582"/>
      <c r="L112" s="274" t="s">
        <v>130</v>
      </c>
      <c r="M112" s="259" t="s">
        <v>61</v>
      </c>
      <c r="N112" s="270">
        <v>1</v>
      </c>
      <c r="O112" s="260">
        <f>E111*N112</f>
        <v>5648.87</v>
      </c>
      <c r="P112" s="275">
        <f>4.825/12.73</f>
        <v>0.37902592301649646</v>
      </c>
      <c r="Q112" s="58">
        <f>N112*P112*$N$11</f>
        <v>0.44165919874312659</v>
      </c>
      <c r="R112" s="582">
        <f>SUM(Q112:Q113)</f>
        <v>0.44585409154312661</v>
      </c>
      <c r="S112" s="582"/>
      <c r="T112" s="582"/>
      <c r="U112" s="582"/>
      <c r="V112" s="11">
        <f t="shared" si="9"/>
        <v>0</v>
      </c>
      <c r="W112" s="11">
        <f t="shared" si="10"/>
        <v>0</v>
      </c>
      <c r="X112" s="284"/>
      <c r="Y112" s="103"/>
      <c r="Z112" s="103"/>
    </row>
    <row r="113" spans="1:26" ht="19.5" hidden="1" customHeight="1">
      <c r="A113" s="540"/>
      <c r="B113" s="541"/>
      <c r="C113" s="583"/>
      <c r="D113" s="584"/>
      <c r="E113" s="584"/>
      <c r="F113" s="582"/>
      <c r="G113" s="582"/>
      <c r="H113" s="582"/>
      <c r="I113" s="582"/>
      <c r="J113" s="582"/>
      <c r="K113" s="582"/>
      <c r="L113" s="274" t="s">
        <v>113</v>
      </c>
      <c r="M113" s="259" t="s">
        <v>61</v>
      </c>
      <c r="N113" s="270">
        <v>4.0000000000000001E-3</v>
      </c>
      <c r="O113" s="275">
        <f>E111*N113</f>
        <v>22.595479999999998</v>
      </c>
      <c r="P113" s="275">
        <v>0.9</v>
      </c>
      <c r="Q113" s="277">
        <f>N113*P113*$N$11</f>
        <v>4.1948928000000016E-3</v>
      </c>
      <c r="R113" s="582"/>
      <c r="S113" s="582"/>
      <c r="T113" s="582"/>
      <c r="U113" s="582"/>
      <c r="V113" s="11">
        <f t="shared" si="9"/>
        <v>0</v>
      </c>
      <c r="W113" s="11">
        <f t="shared" si="10"/>
        <v>0</v>
      </c>
      <c r="X113" s="284"/>
      <c r="Y113" s="103"/>
      <c r="Z113" s="103"/>
    </row>
    <row r="114" spans="1:26" ht="19.5" customHeight="1">
      <c r="A114" s="540">
        <f>+A111+1</f>
        <v>39</v>
      </c>
      <c r="B114" s="541" t="s">
        <v>110</v>
      </c>
      <c r="C114" s="583" t="s">
        <v>132</v>
      </c>
      <c r="D114" s="584" t="s">
        <v>61</v>
      </c>
      <c r="E114" s="584">
        <v>745.92</v>
      </c>
      <c r="F114" s="565">
        <f>0.001*14.8</f>
        <v>1.4800000000000001E-2</v>
      </c>
      <c r="G114" s="565"/>
      <c r="H114" s="565"/>
      <c r="I114" s="546">
        <f>0.001*4.98</f>
        <v>4.9800000000000009E-3</v>
      </c>
      <c r="J114" s="546"/>
      <c r="K114" s="546"/>
      <c r="L114" s="278"/>
      <c r="M114" s="259"/>
      <c r="N114" s="267"/>
      <c r="O114" s="260"/>
      <c r="P114" s="275"/>
      <c r="Q114" s="58"/>
      <c r="R114" s="123">
        <f>F115+I115</f>
        <v>5.1849540799999996E-2</v>
      </c>
      <c r="S114" s="582">
        <f>R114+R115</f>
        <v>0.45703443271308219</v>
      </c>
      <c r="T114" s="582">
        <f>E114*S114</f>
        <v>340.91112404934228</v>
      </c>
      <c r="U114" s="582">
        <f>R115*E114</f>
        <v>302.23551457580629</v>
      </c>
      <c r="V114" s="11">
        <f t="shared" si="9"/>
        <v>0.60931662996216562</v>
      </c>
      <c r="W114" s="11">
        <f t="shared" si="10"/>
        <v>454.50146062137856</v>
      </c>
      <c r="X114" s="284"/>
      <c r="Y114" s="103"/>
      <c r="Z114" s="103"/>
    </row>
    <row r="115" spans="1:26" ht="19.5" hidden="1" customHeight="1">
      <c r="A115" s="540"/>
      <c r="B115" s="541"/>
      <c r="C115" s="583"/>
      <c r="D115" s="584"/>
      <c r="E115" s="584"/>
      <c r="F115" s="582">
        <f>F114*J$13/1000</f>
        <v>3.6375883999999997E-2</v>
      </c>
      <c r="G115" s="582"/>
      <c r="H115" s="582"/>
      <c r="I115" s="582">
        <f>I114*$Q$13/1000</f>
        <v>1.5473656800000003E-2</v>
      </c>
      <c r="J115" s="582"/>
      <c r="K115" s="582"/>
      <c r="L115" s="274" t="s">
        <v>130</v>
      </c>
      <c r="M115" s="259" t="s">
        <v>61</v>
      </c>
      <c r="N115" s="270">
        <v>1</v>
      </c>
      <c r="O115" s="260">
        <f>E114*N115</f>
        <v>745.92</v>
      </c>
      <c r="P115" s="275">
        <f>3.104/9.02</f>
        <v>0.34412416851441247</v>
      </c>
      <c r="Q115" s="58">
        <f>N115*P115*$N$11</f>
        <v>0.4009899991130822</v>
      </c>
      <c r="R115" s="582">
        <f>SUM(Q115:Q116)</f>
        <v>0.40518489191308221</v>
      </c>
      <c r="S115" s="582"/>
      <c r="T115" s="582"/>
      <c r="U115" s="582"/>
      <c r="V115" s="11">
        <f t="shared" si="9"/>
        <v>0</v>
      </c>
      <c r="W115" s="11">
        <f t="shared" si="10"/>
        <v>0</v>
      </c>
      <c r="X115" s="284"/>
      <c r="Y115" s="103"/>
      <c r="Z115" s="103"/>
    </row>
    <row r="116" spans="1:26" ht="19.5" hidden="1" customHeight="1">
      <c r="A116" s="540"/>
      <c r="B116" s="541"/>
      <c r="C116" s="583"/>
      <c r="D116" s="584"/>
      <c r="E116" s="584"/>
      <c r="F116" s="582"/>
      <c r="G116" s="582"/>
      <c r="H116" s="582"/>
      <c r="I116" s="582"/>
      <c r="J116" s="582"/>
      <c r="K116" s="582"/>
      <c r="L116" s="274" t="s">
        <v>113</v>
      </c>
      <c r="M116" s="259" t="s">
        <v>61</v>
      </c>
      <c r="N116" s="270">
        <v>4.0000000000000001E-3</v>
      </c>
      <c r="O116" s="275">
        <f>E114*N116</f>
        <v>2.9836800000000001</v>
      </c>
      <c r="P116" s="275">
        <v>0.9</v>
      </c>
      <c r="Q116" s="277">
        <f>N116*P116*$N$11</f>
        <v>4.1948928000000016E-3</v>
      </c>
      <c r="R116" s="582"/>
      <c r="S116" s="582"/>
      <c r="T116" s="582"/>
      <c r="U116" s="582"/>
      <c r="V116" s="11">
        <f t="shared" si="9"/>
        <v>0</v>
      </c>
      <c r="W116" s="11">
        <f t="shared" si="10"/>
        <v>0</v>
      </c>
      <c r="X116" s="284"/>
      <c r="Y116" s="103"/>
      <c r="Z116" s="103"/>
    </row>
    <row r="117" spans="1:26" ht="19.5" customHeight="1">
      <c r="A117" s="540">
        <f>+A114+1</f>
        <v>40</v>
      </c>
      <c r="B117" s="541" t="s">
        <v>110</v>
      </c>
      <c r="C117" s="583" t="s">
        <v>133</v>
      </c>
      <c r="D117" s="584" t="s">
        <v>61</v>
      </c>
      <c r="E117" s="584">
        <f>1869.84+152.64+3529.8+381.6+826.8+203.52</f>
        <v>6964.2000000000016</v>
      </c>
      <c r="F117" s="565">
        <f>0.001*14.8</f>
        <v>1.4800000000000001E-2</v>
      </c>
      <c r="G117" s="565"/>
      <c r="H117" s="565"/>
      <c r="I117" s="546">
        <f>0.001*4.98</f>
        <v>4.9800000000000009E-3</v>
      </c>
      <c r="J117" s="546"/>
      <c r="K117" s="546"/>
      <c r="L117" s="278"/>
      <c r="M117" s="259"/>
      <c r="N117" s="267"/>
      <c r="O117" s="260"/>
      <c r="P117" s="275"/>
      <c r="Q117" s="58"/>
      <c r="R117" s="123">
        <f>F118+I118</f>
        <v>5.1849540799999996E-2</v>
      </c>
      <c r="S117" s="582">
        <f>R117+R118</f>
        <v>0.45490369397735858</v>
      </c>
      <c r="T117" s="582">
        <f>E117*S117</f>
        <v>3168.0403055971215</v>
      </c>
      <c r="U117" s="582">
        <f>R118*E117</f>
        <v>2806.9497335577612</v>
      </c>
      <c r="V117" s="11">
        <f t="shared" ref="V117:V132" si="11">+$V$14*S117</f>
        <v>0.60647593689211854</v>
      </c>
      <c r="W117" s="11">
        <f t="shared" si="10"/>
        <v>4223.6197197040929</v>
      </c>
      <c r="X117" s="284"/>
      <c r="Y117" s="103"/>
      <c r="Z117" s="103"/>
    </row>
    <row r="118" spans="1:26" ht="19.5" hidden="1" customHeight="1">
      <c r="A118" s="540"/>
      <c r="B118" s="541"/>
      <c r="C118" s="583"/>
      <c r="D118" s="584"/>
      <c r="E118" s="584"/>
      <c r="F118" s="582">
        <f>F117*J$13/1000</f>
        <v>3.6375883999999997E-2</v>
      </c>
      <c r="G118" s="582"/>
      <c r="H118" s="582"/>
      <c r="I118" s="582">
        <f>I117*$Q$13/1000</f>
        <v>1.5473656800000003E-2</v>
      </c>
      <c r="J118" s="582"/>
      <c r="K118" s="582"/>
      <c r="L118" s="274" t="s">
        <v>130</v>
      </c>
      <c r="M118" s="259" t="s">
        <v>61</v>
      </c>
      <c r="N118" s="270">
        <v>1</v>
      </c>
      <c r="O118" s="260">
        <f>E117*N118</f>
        <v>6964.2000000000016</v>
      </c>
      <c r="P118" s="275">
        <f>2.177/6.36</f>
        <v>0.34229559748427674</v>
      </c>
      <c r="Q118" s="58">
        <f>N118*P118*$N$11</f>
        <v>0.39885926037735858</v>
      </c>
      <c r="R118" s="582">
        <f>SUM(Q118:Q119)</f>
        <v>0.4030541531773586</v>
      </c>
      <c r="S118" s="582"/>
      <c r="T118" s="582"/>
      <c r="U118" s="582"/>
      <c r="V118" s="11">
        <f t="shared" si="11"/>
        <v>0</v>
      </c>
      <c r="W118" s="11">
        <f t="shared" si="10"/>
        <v>0</v>
      </c>
      <c r="X118" s="284"/>
      <c r="Y118" s="103"/>
      <c r="Z118" s="103"/>
    </row>
    <row r="119" spans="1:26" ht="19.5" hidden="1" customHeight="1">
      <c r="A119" s="540"/>
      <c r="B119" s="541"/>
      <c r="C119" s="583"/>
      <c r="D119" s="584"/>
      <c r="E119" s="584"/>
      <c r="F119" s="582"/>
      <c r="G119" s="582"/>
      <c r="H119" s="582"/>
      <c r="I119" s="582"/>
      <c r="J119" s="582"/>
      <c r="K119" s="582"/>
      <c r="L119" s="274" t="s">
        <v>113</v>
      </c>
      <c r="M119" s="259" t="s">
        <v>61</v>
      </c>
      <c r="N119" s="270">
        <v>4.0000000000000001E-3</v>
      </c>
      <c r="O119" s="275">
        <f>E117*N119</f>
        <v>27.856800000000007</v>
      </c>
      <c r="P119" s="275">
        <v>0.9</v>
      </c>
      <c r="Q119" s="277">
        <f>N119*P119*$N$11</f>
        <v>4.1948928000000016E-3</v>
      </c>
      <c r="R119" s="582"/>
      <c r="S119" s="582"/>
      <c r="T119" s="582"/>
      <c r="U119" s="582"/>
      <c r="V119" s="11">
        <f t="shared" si="11"/>
        <v>0</v>
      </c>
      <c r="W119" s="11">
        <f t="shared" si="10"/>
        <v>0</v>
      </c>
      <c r="X119" s="284"/>
      <c r="Y119" s="103"/>
      <c r="Z119" s="103"/>
    </row>
    <row r="120" spans="1:26" ht="19.5" customHeight="1">
      <c r="A120" s="540">
        <f>+A117+1</f>
        <v>41</v>
      </c>
      <c r="B120" s="541" t="s">
        <v>110</v>
      </c>
      <c r="C120" s="583" t="s">
        <v>134</v>
      </c>
      <c r="D120" s="584" t="s">
        <v>61</v>
      </c>
      <c r="E120" s="584">
        <f>1652.4+492.48+1938.06+923.4+310.5+108</f>
        <v>5424.84</v>
      </c>
      <c r="F120" s="565">
        <f>0.001*14.8</f>
        <v>1.4800000000000001E-2</v>
      </c>
      <c r="G120" s="565"/>
      <c r="H120" s="565"/>
      <c r="I120" s="546">
        <f>0.001*4.98</f>
        <v>4.9800000000000009E-3</v>
      </c>
      <c r="J120" s="546"/>
      <c r="K120" s="546"/>
      <c r="L120" s="278"/>
      <c r="M120" s="259"/>
      <c r="N120" s="267"/>
      <c r="O120" s="260"/>
      <c r="P120" s="275"/>
      <c r="Q120" s="58"/>
      <c r="R120" s="123">
        <f>F121+I121</f>
        <v>5.1849540799999996E-2</v>
      </c>
      <c r="S120" s="582">
        <f>R120+R121</f>
        <v>0.45438662026666676</v>
      </c>
      <c r="T120" s="582">
        <f>E120*S120</f>
        <v>2464.9747130874248</v>
      </c>
      <c r="U120" s="582">
        <f>R121*E120</f>
        <v>2183.6992501739528</v>
      </c>
      <c r="V120" s="11">
        <f t="shared" si="11"/>
        <v>0.60578657611689091</v>
      </c>
      <c r="W120" s="11">
        <f t="shared" si="10"/>
        <v>3286.2952495819545</v>
      </c>
      <c r="X120" s="284"/>
      <c r="Y120" s="103"/>
      <c r="Z120" s="103"/>
    </row>
    <row r="121" spans="1:26" ht="19.5" hidden="1" customHeight="1">
      <c r="A121" s="540"/>
      <c r="B121" s="541"/>
      <c r="C121" s="583"/>
      <c r="D121" s="584"/>
      <c r="E121" s="584"/>
      <c r="F121" s="582">
        <f>F120*J$13/1000</f>
        <v>3.6375883999999997E-2</v>
      </c>
      <c r="G121" s="582"/>
      <c r="H121" s="582"/>
      <c r="I121" s="582">
        <f>I120*$Q$13/1000</f>
        <v>1.5473656800000003E-2</v>
      </c>
      <c r="J121" s="582"/>
      <c r="K121" s="582"/>
      <c r="L121" s="274" t="s">
        <v>130</v>
      </c>
      <c r="M121" s="259" t="s">
        <v>61</v>
      </c>
      <c r="N121" s="270">
        <v>1</v>
      </c>
      <c r="O121" s="260">
        <f>E120*N121</f>
        <v>5424.84</v>
      </c>
      <c r="P121" s="275">
        <f>1.846/5.4</f>
        <v>0.34185185185185185</v>
      </c>
      <c r="Q121" s="58">
        <f>N121*P121*$N$11</f>
        <v>0.39834218666666676</v>
      </c>
      <c r="R121" s="582">
        <f>SUM(Q121:Q122)</f>
        <v>0.40253707946666678</v>
      </c>
      <c r="S121" s="582"/>
      <c r="T121" s="582"/>
      <c r="U121" s="582"/>
      <c r="V121" s="11">
        <f t="shared" si="11"/>
        <v>0</v>
      </c>
      <c r="W121" s="11">
        <f t="shared" si="10"/>
        <v>0</v>
      </c>
      <c r="X121" s="284"/>
      <c r="Y121" s="103"/>
      <c r="Z121" s="103"/>
    </row>
    <row r="122" spans="1:26" ht="19.5" hidden="1" customHeight="1">
      <c r="A122" s="540"/>
      <c r="B122" s="541"/>
      <c r="C122" s="583"/>
      <c r="D122" s="584"/>
      <c r="E122" s="584"/>
      <c r="F122" s="582"/>
      <c r="G122" s="582"/>
      <c r="H122" s="582"/>
      <c r="I122" s="582"/>
      <c r="J122" s="582"/>
      <c r="K122" s="582"/>
      <c r="L122" s="274" t="s">
        <v>113</v>
      </c>
      <c r="M122" s="259" t="s">
        <v>61</v>
      </c>
      <c r="N122" s="270">
        <v>4.0000000000000001E-3</v>
      </c>
      <c r="O122" s="275">
        <f>E120*N122</f>
        <v>21.699360000000002</v>
      </c>
      <c r="P122" s="275">
        <v>0.9</v>
      </c>
      <c r="Q122" s="277">
        <f>N122*P122*$N$11</f>
        <v>4.1948928000000016E-3</v>
      </c>
      <c r="R122" s="582"/>
      <c r="S122" s="582"/>
      <c r="T122" s="582"/>
      <c r="U122" s="582"/>
      <c r="V122" s="11">
        <f t="shared" si="11"/>
        <v>0</v>
      </c>
      <c r="W122" s="11">
        <f t="shared" si="10"/>
        <v>0</v>
      </c>
      <c r="X122" s="284"/>
      <c r="Y122" s="103"/>
      <c r="Z122" s="103"/>
    </row>
    <row r="123" spans="1:26" ht="19.5" customHeight="1">
      <c r="A123" s="540">
        <f>+A120+1</f>
        <v>42</v>
      </c>
      <c r="B123" s="541" t="s">
        <v>110</v>
      </c>
      <c r="C123" s="583" t="s">
        <v>135</v>
      </c>
      <c r="D123" s="584" t="s">
        <v>61</v>
      </c>
      <c r="E123" s="584">
        <f>1450.4+156+690</f>
        <v>2296.4</v>
      </c>
      <c r="F123" s="565">
        <f>0.001*14.8</f>
        <v>1.4800000000000001E-2</v>
      </c>
      <c r="G123" s="565"/>
      <c r="H123" s="565"/>
      <c r="I123" s="546">
        <f>0.001*4.98</f>
        <v>4.9800000000000009E-3</v>
      </c>
      <c r="J123" s="546"/>
      <c r="K123" s="546"/>
      <c r="L123" s="278"/>
      <c r="M123" s="259"/>
      <c r="N123" s="267"/>
      <c r="O123" s="260"/>
      <c r="P123" s="275"/>
      <c r="Q123" s="58"/>
      <c r="R123" s="123">
        <f>F124+I124</f>
        <v>5.1849540799999996E-2</v>
      </c>
      <c r="S123" s="582">
        <f>R123+R124</f>
        <v>0.45543318560000007</v>
      </c>
      <c r="T123" s="582">
        <f>E123*S123</f>
        <v>1045.8567674118401</v>
      </c>
      <c r="U123" s="582">
        <f>R124*E123</f>
        <v>926.78948191872018</v>
      </c>
      <c r="V123" s="11">
        <f t="shared" si="11"/>
        <v>0.60718185318202667</v>
      </c>
      <c r="W123" s="11">
        <f t="shared" si="10"/>
        <v>1394.3324076472061</v>
      </c>
      <c r="X123" s="284"/>
      <c r="Y123" s="103"/>
      <c r="Z123" s="103"/>
    </row>
    <row r="124" spans="1:26" ht="19.5" hidden="1" customHeight="1">
      <c r="A124" s="540"/>
      <c r="B124" s="541"/>
      <c r="C124" s="583"/>
      <c r="D124" s="584"/>
      <c r="E124" s="584"/>
      <c r="F124" s="582">
        <f>F123*J$13/1000</f>
        <v>3.6375883999999997E-2</v>
      </c>
      <c r="G124" s="582"/>
      <c r="H124" s="582"/>
      <c r="I124" s="582">
        <f>I123*$Q$13/1000</f>
        <v>1.5473656800000003E-2</v>
      </c>
      <c r="J124" s="582"/>
      <c r="K124" s="582"/>
      <c r="L124" s="274" t="s">
        <v>130</v>
      </c>
      <c r="M124" s="259" t="s">
        <v>61</v>
      </c>
      <c r="N124" s="270">
        <v>1</v>
      </c>
      <c r="O124" s="260">
        <f>E123*N124</f>
        <v>2296.4</v>
      </c>
      <c r="P124" s="275">
        <f>1.371/4</f>
        <v>0.34275</v>
      </c>
      <c r="Q124" s="58">
        <f>N124*P124*$N$11</f>
        <v>0.39938875200000007</v>
      </c>
      <c r="R124" s="582">
        <f>SUM(Q124:Q125)</f>
        <v>0.40358364480000009</v>
      </c>
      <c r="S124" s="582"/>
      <c r="T124" s="582"/>
      <c r="U124" s="582"/>
      <c r="V124" s="11">
        <f t="shared" si="11"/>
        <v>0</v>
      </c>
      <c r="W124" s="11">
        <f t="shared" si="10"/>
        <v>0</v>
      </c>
      <c r="X124" s="284"/>
      <c r="Y124" s="103"/>
      <c r="Z124" s="103"/>
    </row>
    <row r="125" spans="1:26" ht="19.5" hidden="1" customHeight="1">
      <c r="A125" s="540"/>
      <c r="B125" s="541"/>
      <c r="C125" s="583"/>
      <c r="D125" s="584"/>
      <c r="E125" s="584"/>
      <c r="F125" s="582"/>
      <c r="G125" s="582"/>
      <c r="H125" s="582"/>
      <c r="I125" s="582"/>
      <c r="J125" s="582"/>
      <c r="K125" s="582"/>
      <c r="L125" s="274" t="s">
        <v>113</v>
      </c>
      <c r="M125" s="259" t="s">
        <v>61</v>
      </c>
      <c r="N125" s="270">
        <v>4.0000000000000001E-3</v>
      </c>
      <c r="O125" s="275">
        <f>E123*N125</f>
        <v>9.1856000000000009</v>
      </c>
      <c r="P125" s="275">
        <v>0.9</v>
      </c>
      <c r="Q125" s="277">
        <f>N125*P125*$N$11</f>
        <v>4.1948928000000016E-3</v>
      </c>
      <c r="R125" s="582"/>
      <c r="S125" s="582"/>
      <c r="T125" s="582"/>
      <c r="U125" s="582"/>
      <c r="V125" s="11">
        <f t="shared" si="11"/>
        <v>0</v>
      </c>
      <c r="W125" s="11">
        <f t="shared" si="10"/>
        <v>0</v>
      </c>
      <c r="X125" s="284"/>
      <c r="Y125" s="103"/>
      <c r="Z125" s="103"/>
    </row>
    <row r="126" spans="1:26" ht="19.5" customHeight="1">
      <c r="A126" s="540">
        <f>+A123+1</f>
        <v>43</v>
      </c>
      <c r="B126" s="541" t="s">
        <v>110</v>
      </c>
      <c r="C126" s="583" t="s">
        <v>136</v>
      </c>
      <c r="D126" s="584" t="s">
        <v>61</v>
      </c>
      <c r="E126" s="584">
        <v>1096</v>
      </c>
      <c r="F126" s="565">
        <f>0.001*14.8</f>
        <v>1.4800000000000001E-2</v>
      </c>
      <c r="G126" s="565"/>
      <c r="H126" s="565"/>
      <c r="I126" s="546">
        <f>0.001*4.98</f>
        <v>4.9800000000000009E-3</v>
      </c>
      <c r="J126" s="546"/>
      <c r="K126" s="546"/>
      <c r="L126" s="278" t="s">
        <v>137</v>
      </c>
      <c r="M126" s="259"/>
      <c r="N126" s="267"/>
      <c r="O126" s="260"/>
      <c r="P126" s="260"/>
      <c r="Q126" s="58"/>
      <c r="R126" s="123">
        <f>F127+I127</f>
        <v>5.1849540799999996E-2</v>
      </c>
      <c r="S126" s="582">
        <f>R126+R127</f>
        <v>0.52214363360000016</v>
      </c>
      <c r="T126" s="582">
        <f>E126*S126</f>
        <v>572.26942242560017</v>
      </c>
      <c r="U126" s="582">
        <f>R127*E126</f>
        <v>515.44232570880024</v>
      </c>
      <c r="V126" s="11">
        <f t="shared" si="11"/>
        <v>0.69611997785970114</v>
      </c>
      <c r="W126" s="11">
        <f t="shared" si="10"/>
        <v>762.94749573423246</v>
      </c>
      <c r="X126" s="284"/>
      <c r="Y126" s="103"/>
      <c r="Z126" s="103"/>
    </row>
    <row r="127" spans="1:26" ht="21.75" hidden="1" customHeight="1">
      <c r="A127" s="540"/>
      <c r="B127" s="541"/>
      <c r="C127" s="583"/>
      <c r="D127" s="584"/>
      <c r="E127" s="584"/>
      <c r="F127" s="582">
        <f>F126*J$13/1000</f>
        <v>3.6375883999999997E-2</v>
      </c>
      <c r="G127" s="582"/>
      <c r="H127" s="582"/>
      <c r="I127" s="582">
        <f>I126*$Q$13/1000</f>
        <v>1.5473656800000003E-2</v>
      </c>
      <c r="J127" s="582"/>
      <c r="K127" s="582"/>
      <c r="L127" s="274" t="s">
        <v>130</v>
      </c>
      <c r="M127" s="259" t="s">
        <v>61</v>
      </c>
      <c r="N127" s="270">
        <v>1</v>
      </c>
      <c r="O127" s="260">
        <f>E126*N127</f>
        <v>1096</v>
      </c>
      <c r="P127" s="275">
        <v>0.4</v>
      </c>
      <c r="Q127" s="58">
        <f>N127*P127*$N$11</f>
        <v>0.46609920000000016</v>
      </c>
      <c r="R127" s="582">
        <f>SUM(Q127:Q128)</f>
        <v>0.47029409280000017</v>
      </c>
      <c r="S127" s="582"/>
      <c r="T127" s="582"/>
      <c r="U127" s="582"/>
      <c r="V127" s="11">
        <f t="shared" si="11"/>
        <v>0</v>
      </c>
      <c r="W127" s="11">
        <f t="shared" si="10"/>
        <v>0</v>
      </c>
      <c r="X127" s="284"/>
      <c r="Y127" s="103"/>
      <c r="Z127" s="103"/>
    </row>
    <row r="128" spans="1:26" ht="18.75" hidden="1" customHeight="1">
      <c r="A128" s="540"/>
      <c r="B128" s="541"/>
      <c r="C128" s="583"/>
      <c r="D128" s="584"/>
      <c r="E128" s="584"/>
      <c r="F128" s="582"/>
      <c r="G128" s="582"/>
      <c r="H128" s="582"/>
      <c r="I128" s="582"/>
      <c r="J128" s="582"/>
      <c r="K128" s="582"/>
      <c r="L128" s="274" t="s">
        <v>113</v>
      </c>
      <c r="M128" s="259" t="s">
        <v>61</v>
      </c>
      <c r="N128" s="270">
        <v>4.0000000000000001E-3</v>
      </c>
      <c r="O128" s="260">
        <f>E126*N128</f>
        <v>4.3840000000000003</v>
      </c>
      <c r="P128" s="275">
        <v>0.9</v>
      </c>
      <c r="Q128" s="277">
        <f>N128*P128*$N$11</f>
        <v>4.1948928000000016E-3</v>
      </c>
      <c r="R128" s="582"/>
      <c r="S128" s="582"/>
      <c r="T128" s="582"/>
      <c r="U128" s="582"/>
      <c r="V128" s="11">
        <f t="shared" si="11"/>
        <v>0</v>
      </c>
      <c r="W128" s="11">
        <f t="shared" si="10"/>
        <v>0</v>
      </c>
      <c r="X128" s="284"/>
      <c r="Y128" s="103"/>
      <c r="Z128" s="103"/>
    </row>
    <row r="129" spans="1:26" ht="19.5" customHeight="1">
      <c r="A129" s="540">
        <f>+A126+1</f>
        <v>44</v>
      </c>
      <c r="B129" s="578" t="s">
        <v>138</v>
      </c>
      <c r="C129" s="579" t="s">
        <v>139</v>
      </c>
      <c r="D129" s="580" t="s">
        <v>61</v>
      </c>
      <c r="E129" s="581">
        <v>284.5</v>
      </c>
      <c r="F129" s="577"/>
      <c r="G129" s="577"/>
      <c r="H129" s="577"/>
      <c r="I129" s="575"/>
      <c r="J129" s="575"/>
      <c r="K129" s="575"/>
      <c r="L129" s="293"/>
      <c r="M129" s="294"/>
      <c r="N129" s="294"/>
      <c r="O129" s="294"/>
      <c r="P129" s="294"/>
      <c r="Q129" s="294"/>
      <c r="R129" s="152"/>
      <c r="S129" s="576">
        <f>R129+R130</f>
        <v>1.3092674157303374</v>
      </c>
      <c r="T129" s="576">
        <f>E129*S129</f>
        <v>372.48657977528103</v>
      </c>
      <c r="U129" s="576">
        <f>R130*E129</f>
        <v>372.48657977528103</v>
      </c>
      <c r="V129" s="11">
        <f t="shared" si="11"/>
        <v>1.7455105181821189</v>
      </c>
      <c r="W129" s="11">
        <f t="shared" si="10"/>
        <v>496.59774242281281</v>
      </c>
      <c r="X129" s="273"/>
      <c r="Y129" s="94"/>
      <c r="Z129" s="94"/>
    </row>
    <row r="130" spans="1:26" ht="19.5" hidden="1" customHeight="1">
      <c r="A130" s="540"/>
      <c r="B130" s="578"/>
      <c r="C130" s="579"/>
      <c r="D130" s="580"/>
      <c r="E130" s="581"/>
      <c r="F130" s="577"/>
      <c r="G130" s="577"/>
      <c r="H130" s="577"/>
      <c r="I130" s="575"/>
      <c r="J130" s="575"/>
      <c r="K130" s="575"/>
      <c r="L130" s="274" t="s">
        <v>140</v>
      </c>
      <c r="M130" s="259" t="s">
        <v>61</v>
      </c>
      <c r="N130" s="280">
        <v>1</v>
      </c>
      <c r="O130" s="58">
        <f>E129*N130</f>
        <v>284.5</v>
      </c>
      <c r="P130" s="277">
        <f>1 /0.89</f>
        <v>1.1235955056179776</v>
      </c>
      <c r="Q130" s="58">
        <f>N130*P130*$N$11</f>
        <v>1.3092674157303374</v>
      </c>
      <c r="R130" s="152">
        <f>SUM(Q130:Q130)</f>
        <v>1.3092674157303374</v>
      </c>
      <c r="S130" s="576"/>
      <c r="T130" s="576"/>
      <c r="U130" s="576"/>
      <c r="V130" s="11">
        <f t="shared" si="11"/>
        <v>0</v>
      </c>
      <c r="W130" s="11">
        <f t="shared" si="10"/>
        <v>0</v>
      </c>
      <c r="X130" s="273"/>
      <c r="Y130" s="94"/>
      <c r="Z130" s="94"/>
    </row>
    <row r="131" spans="1:26" ht="19.5" customHeight="1">
      <c r="A131" s="540">
        <f>+A129+1</f>
        <v>45</v>
      </c>
      <c r="B131" s="541" t="s">
        <v>141</v>
      </c>
      <c r="C131" s="542" t="s">
        <v>142</v>
      </c>
      <c r="D131" s="543" t="s">
        <v>61</v>
      </c>
      <c r="E131" s="564">
        <v>1017.6</v>
      </c>
      <c r="F131" s="545">
        <f>24.8/1000</f>
        <v>2.4799999999999999E-2</v>
      </c>
      <c r="G131" s="545"/>
      <c r="H131" s="545"/>
      <c r="I131" s="546">
        <f>14.8/1000</f>
        <v>1.4800000000000001E-2</v>
      </c>
      <c r="J131" s="546"/>
      <c r="K131" s="546"/>
      <c r="L131" s="278"/>
      <c r="M131" s="259"/>
      <c r="N131" s="260"/>
      <c r="O131" s="260"/>
      <c r="P131" s="260"/>
      <c r="Q131" s="58"/>
      <c r="R131" s="58">
        <f>F132+I132</f>
        <v>0.106940152</v>
      </c>
      <c r="S131" s="538">
        <f>R131+R132</f>
        <v>0.66043295200000007</v>
      </c>
      <c r="T131" s="538">
        <f>E131*S131</f>
        <v>672.05657195520007</v>
      </c>
      <c r="U131" s="538">
        <f>E131*Q132</f>
        <v>563.23427328000014</v>
      </c>
      <c r="V131" s="11">
        <f t="shared" si="11"/>
        <v>0.88048679010850817</v>
      </c>
      <c r="W131" s="11">
        <f t="shared" si="10"/>
        <v>895.98335761441797</v>
      </c>
      <c r="X131" s="295"/>
      <c r="Y131" s="156"/>
      <c r="Z131" s="156"/>
    </row>
    <row r="132" spans="1:26" ht="19.5" hidden="1" customHeight="1">
      <c r="A132" s="540"/>
      <c r="B132" s="541"/>
      <c r="C132" s="542"/>
      <c r="D132" s="543"/>
      <c r="E132" s="564"/>
      <c r="F132" s="539">
        <f>F131*$J$13/1000</f>
        <v>6.0954183999999995E-2</v>
      </c>
      <c r="G132" s="539"/>
      <c r="H132" s="539"/>
      <c r="I132" s="538">
        <f>I131*$Q$13/1000</f>
        <v>4.5985968000000002E-2</v>
      </c>
      <c r="J132" s="538"/>
      <c r="K132" s="538"/>
      <c r="L132" s="274" t="s">
        <v>143</v>
      </c>
      <c r="M132" s="259" t="s">
        <v>61</v>
      </c>
      <c r="N132" s="280">
        <v>1</v>
      </c>
      <c r="O132" s="58">
        <f>E131*N132</f>
        <v>1017.6</v>
      </c>
      <c r="P132" s="277">
        <v>0.47499999999999998</v>
      </c>
      <c r="Q132" s="58">
        <f>N132*P132*$N$11</f>
        <v>0.55349280000000012</v>
      </c>
      <c r="R132" s="58">
        <f>SUM(Q132:Q132)</f>
        <v>0.55349280000000012</v>
      </c>
      <c r="S132" s="538"/>
      <c r="T132" s="538"/>
      <c r="U132" s="538"/>
      <c r="V132" s="11">
        <f t="shared" si="11"/>
        <v>0</v>
      </c>
      <c r="W132" s="11">
        <f t="shared" si="10"/>
        <v>0</v>
      </c>
      <c r="X132" s="295"/>
      <c r="Y132" s="156"/>
      <c r="Z132" s="156"/>
    </row>
    <row r="133" spans="1:26" s="319" customFormat="1" ht="22.5" customHeight="1">
      <c r="A133" s="384"/>
      <c r="B133" s="384"/>
      <c r="C133" s="385" t="s">
        <v>188</v>
      </c>
      <c r="D133" s="384"/>
      <c r="E133" s="386">
        <v>10</v>
      </c>
      <c r="F133" s="574"/>
      <c r="G133" s="574"/>
      <c r="H133" s="574"/>
      <c r="I133" s="574"/>
      <c r="J133" s="574"/>
      <c r="K133" s="574"/>
      <c r="L133" s="574"/>
      <c r="M133" s="387"/>
      <c r="N133" s="387"/>
      <c r="O133" s="387"/>
      <c r="P133" s="386"/>
      <c r="Q133" s="386"/>
      <c r="R133" s="386"/>
      <c r="S133" s="386"/>
      <c r="T133" s="386"/>
      <c r="U133" s="388">
        <f>+E133</f>
        <v>10</v>
      </c>
      <c r="V133" s="389"/>
      <c r="W133" s="389"/>
      <c r="X133" s="317"/>
      <c r="Y133" s="318"/>
      <c r="Z133" s="318"/>
    </row>
    <row r="134" spans="1:26" ht="19.5" customHeight="1">
      <c r="A134" s="569">
        <v>1</v>
      </c>
      <c r="B134" s="570" t="s">
        <v>144</v>
      </c>
      <c r="C134" s="571" t="s">
        <v>145</v>
      </c>
      <c r="D134" s="572" t="s">
        <v>37</v>
      </c>
      <c r="E134" s="572">
        <f>2.5*E133</f>
        <v>25</v>
      </c>
      <c r="F134" s="567">
        <f>0.01*194</f>
        <v>1.94</v>
      </c>
      <c r="G134" s="567"/>
      <c r="H134" s="567"/>
      <c r="I134" s="573">
        <v>0</v>
      </c>
      <c r="J134" s="573"/>
      <c r="K134" s="573"/>
      <c r="L134" s="296"/>
      <c r="M134" s="290"/>
      <c r="N134" s="290"/>
      <c r="O134" s="290"/>
      <c r="P134" s="297"/>
      <c r="Q134" s="297"/>
      <c r="R134" s="566">
        <f>F135+I135</f>
        <v>4.7681902000000003</v>
      </c>
      <c r="S134" s="566">
        <f>R134+R135</f>
        <v>4.7681902000000003</v>
      </c>
      <c r="T134" s="566">
        <f>E134*S134</f>
        <v>119.20475500000001</v>
      </c>
      <c r="U134" s="568"/>
      <c r="V134" s="11">
        <f t="shared" ref="V134:V147" si="12">+$V$14*S134</f>
        <v>6.3569336919228183</v>
      </c>
      <c r="W134" s="11">
        <f t="shared" si="10"/>
        <v>158.92334229807045</v>
      </c>
      <c r="X134" s="298"/>
      <c r="Y134" s="162"/>
      <c r="Z134" s="162"/>
    </row>
    <row r="135" spans="1:26" ht="19.5" hidden="1" customHeight="1">
      <c r="A135" s="569"/>
      <c r="B135" s="570"/>
      <c r="C135" s="571"/>
      <c r="D135" s="572"/>
      <c r="E135" s="572"/>
      <c r="F135" s="567">
        <f>F134*$J$13/1000</f>
        <v>4.7681902000000003</v>
      </c>
      <c r="G135" s="567"/>
      <c r="H135" s="567"/>
      <c r="I135" s="573">
        <f>I134*$Q$13/1000</f>
        <v>0</v>
      </c>
      <c r="J135" s="573"/>
      <c r="K135" s="573"/>
      <c r="L135" s="296"/>
      <c r="M135" s="290"/>
      <c r="N135" s="290"/>
      <c r="O135" s="290" t="s">
        <v>146</v>
      </c>
      <c r="P135" s="297"/>
      <c r="Q135" s="297"/>
      <c r="R135" s="566"/>
      <c r="S135" s="566"/>
      <c r="T135" s="566"/>
      <c r="U135" s="568"/>
      <c r="V135" s="11">
        <f t="shared" si="12"/>
        <v>0</v>
      </c>
      <c r="W135" s="11">
        <f t="shared" si="10"/>
        <v>0</v>
      </c>
      <c r="X135" s="298"/>
      <c r="Y135" s="162"/>
      <c r="Z135" s="162"/>
    </row>
    <row r="136" spans="1:26" ht="19.5" customHeight="1">
      <c r="A136" s="569">
        <f>+A134+1</f>
        <v>2</v>
      </c>
      <c r="B136" s="570" t="s">
        <v>147</v>
      </c>
      <c r="C136" s="571" t="s">
        <v>148</v>
      </c>
      <c r="D136" s="572" t="s">
        <v>37</v>
      </c>
      <c r="E136" s="572">
        <f>+E134</f>
        <v>25</v>
      </c>
      <c r="F136" s="567">
        <f>0.01*66.4</f>
        <v>0.66400000000000003</v>
      </c>
      <c r="G136" s="567"/>
      <c r="H136" s="567"/>
      <c r="I136" s="566"/>
      <c r="J136" s="566"/>
      <c r="K136" s="566"/>
      <c r="L136" s="296"/>
      <c r="M136" s="288"/>
      <c r="N136" s="289"/>
      <c r="O136" s="289"/>
      <c r="P136" s="297"/>
      <c r="Q136" s="299"/>
      <c r="R136" s="566">
        <f>F137+I137</f>
        <v>1.6319991199999999</v>
      </c>
      <c r="S136" s="566">
        <f>R136+R137</f>
        <v>1.6319991199999999</v>
      </c>
      <c r="T136" s="566">
        <f>E136*S136</f>
        <v>40.799977999999996</v>
      </c>
      <c r="U136" s="300"/>
      <c r="V136" s="11">
        <f t="shared" si="12"/>
        <v>2.1757752430086343</v>
      </c>
      <c r="W136" s="11">
        <f t="shared" si="10"/>
        <v>54.394381075215861</v>
      </c>
      <c r="X136" s="301"/>
      <c r="Y136" s="162"/>
      <c r="Z136" s="162"/>
    </row>
    <row r="137" spans="1:26" ht="19.5" hidden="1" customHeight="1">
      <c r="A137" s="569"/>
      <c r="B137" s="570"/>
      <c r="C137" s="571"/>
      <c r="D137" s="572"/>
      <c r="E137" s="572"/>
      <c r="F137" s="567">
        <f>F136*$J$13/1000</f>
        <v>1.6319991199999999</v>
      </c>
      <c r="G137" s="567"/>
      <c r="H137" s="567"/>
      <c r="I137" s="568"/>
      <c r="J137" s="568"/>
      <c r="K137" s="568"/>
      <c r="L137" s="296"/>
      <c r="M137" s="288"/>
      <c r="N137" s="289"/>
      <c r="O137" s="289"/>
      <c r="P137" s="297"/>
      <c r="Q137" s="299"/>
      <c r="R137" s="566"/>
      <c r="S137" s="566"/>
      <c r="T137" s="566"/>
      <c r="U137" s="300"/>
      <c r="V137" s="11">
        <f t="shared" si="12"/>
        <v>0</v>
      </c>
      <c r="W137" s="11">
        <f t="shared" si="10"/>
        <v>0</v>
      </c>
      <c r="X137" s="301"/>
      <c r="Y137" s="162"/>
      <c r="Z137" s="162"/>
    </row>
    <row r="138" spans="1:26" ht="19.5" customHeight="1">
      <c r="A138" s="540">
        <f>+A136+1</f>
        <v>3</v>
      </c>
      <c r="B138" s="541" t="s">
        <v>149</v>
      </c>
      <c r="C138" s="542" t="s">
        <v>150</v>
      </c>
      <c r="D138" s="543" t="s">
        <v>61</v>
      </c>
      <c r="E138" s="564">
        <f>+((0.4*2.51)+(1.5*3.77)+(7*0.4)+(8*0.22)+(1.5*0.04))*E133</f>
        <v>112.79000000000002</v>
      </c>
      <c r="F138" s="565">
        <f>36.1/1000</f>
        <v>3.61E-2</v>
      </c>
      <c r="G138" s="565"/>
      <c r="H138" s="565"/>
      <c r="I138" s="546">
        <v>5.7000000000000002E-2</v>
      </c>
      <c r="J138" s="546"/>
      <c r="K138" s="546"/>
      <c r="L138" s="281"/>
      <c r="M138" s="259"/>
      <c r="N138" s="260"/>
      <c r="O138" s="260"/>
      <c r="P138" s="260"/>
      <c r="Q138" s="58"/>
      <c r="R138" s="58">
        <f>F139+I139</f>
        <v>0.26583578299999999</v>
      </c>
      <c r="S138" s="538">
        <f>R138+R139+R140+R141</f>
        <v>0.80010199100000001</v>
      </c>
      <c r="T138" s="538">
        <f>E138*S138</f>
        <v>90.24350356489002</v>
      </c>
      <c r="U138" s="538">
        <f>E138*Q139</f>
        <v>59.142744864000022</v>
      </c>
      <c r="V138" s="11">
        <f t="shared" si="12"/>
        <v>1.0666930408024469</v>
      </c>
      <c r="W138" s="11">
        <f t="shared" si="10"/>
        <v>120.31230807210801</v>
      </c>
      <c r="X138" s="302"/>
      <c r="Y138" s="113"/>
      <c r="Z138" s="103"/>
    </row>
    <row r="139" spans="1:26" ht="19.5" hidden="1" customHeight="1">
      <c r="A139" s="540"/>
      <c r="B139" s="541"/>
      <c r="C139" s="542"/>
      <c r="D139" s="543"/>
      <c r="E139" s="564"/>
      <c r="F139" s="538">
        <f>F138*$J$13/1000</f>
        <v>8.8727662999999998E-2</v>
      </c>
      <c r="G139" s="538"/>
      <c r="H139" s="538"/>
      <c r="I139" s="538">
        <f>I138*$Q$13/1000</f>
        <v>0.17710811999999998</v>
      </c>
      <c r="J139" s="538"/>
      <c r="K139" s="538"/>
      <c r="L139" s="274" t="s">
        <v>112</v>
      </c>
      <c r="M139" s="259" t="s">
        <v>61</v>
      </c>
      <c r="N139" s="280">
        <v>1</v>
      </c>
      <c r="O139" s="260">
        <f>E138*N139</f>
        <v>112.79000000000002</v>
      </c>
      <c r="P139" s="277">
        <v>0.45</v>
      </c>
      <c r="Q139" s="58">
        <f>N139*P139*$N$11</f>
        <v>0.52436160000000009</v>
      </c>
      <c r="R139" s="538">
        <f>SUM(Q139:Q141)</f>
        <v>0.53426620800000002</v>
      </c>
      <c r="S139" s="538"/>
      <c r="T139" s="538"/>
      <c r="U139" s="538"/>
      <c r="V139" s="11">
        <f t="shared" si="12"/>
        <v>0</v>
      </c>
      <c r="W139" s="11">
        <f t="shared" si="10"/>
        <v>0</v>
      </c>
      <c r="X139" s="302"/>
      <c r="Y139" s="113"/>
      <c r="Z139" s="103"/>
    </row>
    <row r="140" spans="1:26" ht="19.5" hidden="1" customHeight="1">
      <c r="A140" s="540"/>
      <c r="B140" s="541"/>
      <c r="C140" s="542"/>
      <c r="D140" s="543"/>
      <c r="E140" s="564"/>
      <c r="F140" s="538"/>
      <c r="G140" s="538"/>
      <c r="H140" s="538"/>
      <c r="I140" s="538"/>
      <c r="J140" s="538"/>
      <c r="K140" s="538"/>
      <c r="L140" s="274" t="s">
        <v>113</v>
      </c>
      <c r="M140" s="259" t="s">
        <v>61</v>
      </c>
      <c r="N140" s="277">
        <v>4.0000000000000001E-3</v>
      </c>
      <c r="O140" s="260">
        <f>E138*N140</f>
        <v>0.45116000000000012</v>
      </c>
      <c r="P140" s="303">
        <v>0.9</v>
      </c>
      <c r="Q140" s="277">
        <f>N140*P140*$N$11</f>
        <v>4.1948928000000016E-3</v>
      </c>
      <c r="R140" s="538"/>
      <c r="S140" s="538"/>
      <c r="T140" s="538"/>
      <c r="U140" s="538"/>
      <c r="V140" s="11">
        <f t="shared" si="12"/>
        <v>0</v>
      </c>
      <c r="W140" s="11">
        <f t="shared" si="10"/>
        <v>0</v>
      </c>
      <c r="X140" s="302"/>
      <c r="Y140" s="113"/>
      <c r="Z140" s="103"/>
    </row>
    <row r="141" spans="1:26" ht="19.5" hidden="1" customHeight="1">
      <c r="A141" s="540"/>
      <c r="B141" s="541"/>
      <c r="C141" s="542"/>
      <c r="D141" s="543"/>
      <c r="E141" s="564"/>
      <c r="F141" s="538"/>
      <c r="G141" s="538"/>
      <c r="H141" s="538"/>
      <c r="I141" s="538"/>
      <c r="J141" s="538"/>
      <c r="K141" s="538"/>
      <c r="L141" s="274" t="s">
        <v>151</v>
      </c>
      <c r="M141" s="259" t="s">
        <v>61</v>
      </c>
      <c r="N141" s="304">
        <v>4.8999999999999998E-3</v>
      </c>
      <c r="O141" s="260">
        <f>E138*N141</f>
        <v>0.55267100000000013</v>
      </c>
      <c r="P141" s="277">
        <v>1</v>
      </c>
      <c r="Q141" s="262">
        <f>N141*P141*$N$11</f>
        <v>5.7097152000000016E-3</v>
      </c>
      <c r="R141" s="538"/>
      <c r="S141" s="538"/>
      <c r="T141" s="538"/>
      <c r="U141" s="538"/>
      <c r="V141" s="11">
        <f t="shared" si="12"/>
        <v>0</v>
      </c>
      <c r="W141" s="11">
        <f t="shared" si="10"/>
        <v>0</v>
      </c>
      <c r="X141" s="302"/>
      <c r="Y141" s="113"/>
      <c r="Z141" s="103"/>
    </row>
    <row r="142" spans="1:26" ht="19.5" customHeight="1">
      <c r="A142" s="540">
        <f>+A138+1</f>
        <v>4</v>
      </c>
      <c r="B142" s="541" t="s">
        <v>152</v>
      </c>
      <c r="C142" s="542" t="s">
        <v>153</v>
      </c>
      <c r="D142" s="543" t="s">
        <v>154</v>
      </c>
      <c r="E142" s="544">
        <f>8*E133</f>
        <v>80</v>
      </c>
      <c r="F142" s="538">
        <v>0.23</v>
      </c>
      <c r="G142" s="538"/>
      <c r="H142" s="538"/>
      <c r="I142" s="538">
        <v>0.01</v>
      </c>
      <c r="J142" s="538"/>
      <c r="K142" s="538"/>
      <c r="L142" s="281"/>
      <c r="M142" s="259"/>
      <c r="N142" s="260"/>
      <c r="O142" s="260"/>
      <c r="P142" s="275"/>
      <c r="Q142" s="262"/>
      <c r="R142" s="58">
        <f>F143+I143</f>
        <v>0.59637249999999997</v>
      </c>
      <c r="S142" s="538">
        <f>R142+R143</f>
        <v>5.8399885000000014</v>
      </c>
      <c r="T142" s="538">
        <f>E142*S142</f>
        <v>467.19908000000009</v>
      </c>
      <c r="U142" s="538">
        <f>E142*Q143</f>
        <v>419.48928000000012</v>
      </c>
      <c r="V142" s="11">
        <f t="shared" si="12"/>
        <v>7.785851255701127</v>
      </c>
      <c r="W142" s="11">
        <f t="shared" si="10"/>
        <v>622.86810045609013</v>
      </c>
      <c r="X142" s="305"/>
      <c r="Y142" s="60"/>
      <c r="Z142" s="61"/>
    </row>
    <row r="143" spans="1:26" ht="19.5" hidden="1" customHeight="1">
      <c r="A143" s="540"/>
      <c r="B143" s="541"/>
      <c r="C143" s="542"/>
      <c r="D143" s="543"/>
      <c r="E143" s="544"/>
      <c r="F143" s="538">
        <f>F142*$J$13/1000</f>
        <v>0.5653009</v>
      </c>
      <c r="G143" s="538"/>
      <c r="H143" s="538"/>
      <c r="I143" s="538">
        <f>I142*$Q$13/1000</f>
        <v>3.1071600000000001E-2</v>
      </c>
      <c r="J143" s="538"/>
      <c r="K143" s="538"/>
      <c r="L143" s="274" t="s">
        <v>155</v>
      </c>
      <c r="M143" s="259" t="s">
        <v>80</v>
      </c>
      <c r="N143" s="58">
        <v>1</v>
      </c>
      <c r="O143" s="260">
        <f>E142*N143</f>
        <v>80</v>
      </c>
      <c r="P143" s="280">
        <v>4.5</v>
      </c>
      <c r="Q143" s="262">
        <f>N143*P143*$N$11</f>
        <v>5.2436160000000012</v>
      </c>
      <c r="R143" s="58">
        <f>SUM(Q143:Q143)</f>
        <v>5.2436160000000012</v>
      </c>
      <c r="S143" s="538"/>
      <c r="T143" s="538"/>
      <c r="U143" s="538"/>
      <c r="V143" s="11">
        <f t="shared" si="12"/>
        <v>0</v>
      </c>
      <c r="W143" s="11">
        <f t="shared" si="10"/>
        <v>0</v>
      </c>
      <c r="X143" s="305"/>
      <c r="Y143" s="60"/>
      <c r="Z143" s="61"/>
    </row>
    <row r="144" spans="1:26" ht="19.5" customHeight="1">
      <c r="A144" s="540">
        <f>+A142+1</f>
        <v>5</v>
      </c>
      <c r="B144" s="541" t="s">
        <v>156</v>
      </c>
      <c r="C144" s="542" t="s">
        <v>157</v>
      </c>
      <c r="D144" s="543" t="s">
        <v>80</v>
      </c>
      <c r="E144" s="544">
        <f>3*E133</f>
        <v>30</v>
      </c>
      <c r="F144" s="547">
        <v>0.46</v>
      </c>
      <c r="G144" s="547"/>
      <c r="H144" s="547"/>
      <c r="I144" s="538">
        <v>0.08</v>
      </c>
      <c r="J144" s="538"/>
      <c r="K144" s="538"/>
      <c r="L144" s="281"/>
      <c r="M144" s="259"/>
      <c r="N144" s="260"/>
      <c r="O144" s="260"/>
      <c r="P144" s="260"/>
      <c r="Q144" s="262"/>
      <c r="R144" s="58">
        <f>F145+I145</f>
        <v>1.3791746</v>
      </c>
      <c r="S144" s="538">
        <f>R144+R145</f>
        <v>6.1858226000000007</v>
      </c>
      <c r="T144" s="538">
        <f>E144*S144</f>
        <v>185.57467800000003</v>
      </c>
      <c r="U144" s="538">
        <f>R145*E144</f>
        <v>144.19944000000004</v>
      </c>
      <c r="V144" s="11">
        <f t="shared" si="12"/>
        <v>8.2469160098096772</v>
      </c>
      <c r="W144" s="11">
        <f t="shared" si="10"/>
        <v>247.40748029429031</v>
      </c>
      <c r="X144" s="282"/>
      <c r="Y144" s="103"/>
      <c r="Z144" s="103"/>
    </row>
    <row r="145" spans="1:26" ht="19.5" hidden="1" customHeight="1">
      <c r="A145" s="540"/>
      <c r="B145" s="541"/>
      <c r="C145" s="542"/>
      <c r="D145" s="543"/>
      <c r="E145" s="544"/>
      <c r="F145" s="539">
        <f>F144*$J$13/1000</f>
        <v>1.1306018</v>
      </c>
      <c r="G145" s="539"/>
      <c r="H145" s="539"/>
      <c r="I145" s="538">
        <f>I144*$Q$13/1000</f>
        <v>0.24857280000000001</v>
      </c>
      <c r="J145" s="538"/>
      <c r="K145" s="538"/>
      <c r="L145" s="274" t="s">
        <v>158</v>
      </c>
      <c r="M145" s="259" t="s">
        <v>56</v>
      </c>
      <c r="N145" s="58">
        <v>2.5</v>
      </c>
      <c r="O145" s="260">
        <f>E144*N145</f>
        <v>75</v>
      </c>
      <c r="P145" s="277">
        <v>1.65</v>
      </c>
      <c r="Q145" s="58">
        <f>N145*P145*$N$11</f>
        <v>4.8066480000000009</v>
      </c>
      <c r="R145" s="58">
        <f>SUM(Q145:Q145)</f>
        <v>4.8066480000000009</v>
      </c>
      <c r="S145" s="538"/>
      <c r="T145" s="538"/>
      <c r="U145" s="538"/>
      <c r="V145" s="11">
        <f t="shared" si="12"/>
        <v>0</v>
      </c>
      <c r="W145" s="11">
        <f t="shared" si="10"/>
        <v>0</v>
      </c>
      <c r="X145" s="282"/>
      <c r="Y145" s="103"/>
      <c r="Z145" s="103"/>
    </row>
    <row r="146" spans="1:26" ht="19.5" customHeight="1">
      <c r="A146" s="540">
        <f>+A144+1</f>
        <v>6</v>
      </c>
      <c r="B146" s="541" t="s">
        <v>159</v>
      </c>
      <c r="C146" s="542" t="s">
        <v>160</v>
      </c>
      <c r="D146" s="543" t="s">
        <v>56</v>
      </c>
      <c r="E146" s="564">
        <f>7.5*E133</f>
        <v>75</v>
      </c>
      <c r="F146" s="547">
        <v>0.13</v>
      </c>
      <c r="G146" s="547"/>
      <c r="H146" s="547"/>
      <c r="I146" s="546">
        <v>1.7000000000000001E-2</v>
      </c>
      <c r="J146" s="546"/>
      <c r="K146" s="546"/>
      <c r="L146" s="281"/>
      <c r="M146" s="259"/>
      <c r="N146" s="260"/>
      <c r="O146" s="260"/>
      <c r="P146" s="306"/>
      <c r="Q146" s="262"/>
      <c r="R146" s="58">
        <f>F147+I147</f>
        <v>0.37233962000000004</v>
      </c>
      <c r="S146" s="538">
        <f>R146+R147</f>
        <v>0.94253430800000015</v>
      </c>
      <c r="T146" s="538">
        <f>E146*S146</f>
        <v>70.690073100000006</v>
      </c>
      <c r="U146" s="538">
        <f>R147*E146</f>
        <v>42.764601600000013</v>
      </c>
      <c r="V146" s="11">
        <f t="shared" si="12"/>
        <v>1.2565832835943413</v>
      </c>
      <c r="W146" s="11">
        <f t="shared" si="10"/>
        <v>94.243746269575595</v>
      </c>
      <c r="X146" s="282"/>
      <c r="Y146" s="103"/>
      <c r="Z146" s="103"/>
    </row>
    <row r="147" spans="1:26" ht="19.5" hidden="1" customHeight="1">
      <c r="A147" s="540"/>
      <c r="B147" s="541"/>
      <c r="C147" s="542"/>
      <c r="D147" s="543"/>
      <c r="E147" s="564"/>
      <c r="F147" s="539">
        <f>F146*$J$13/1000</f>
        <v>0.31951790000000002</v>
      </c>
      <c r="G147" s="539"/>
      <c r="H147" s="539"/>
      <c r="I147" s="538">
        <f>I146*$Q$13/1000</f>
        <v>5.2821720000000003E-2</v>
      </c>
      <c r="J147" s="538"/>
      <c r="K147" s="538"/>
      <c r="L147" s="274" t="s">
        <v>161</v>
      </c>
      <c r="M147" s="259" t="s">
        <v>56</v>
      </c>
      <c r="N147" s="58">
        <v>1</v>
      </c>
      <c r="O147" s="260">
        <f>E146*N147</f>
        <v>75</v>
      </c>
      <c r="P147" s="277">
        <f>0.367/3*4</f>
        <v>0.48933333333333334</v>
      </c>
      <c r="Q147" s="58">
        <f>N147*P147*$N$11</f>
        <v>0.57019468800000017</v>
      </c>
      <c r="R147" s="58">
        <f>SUM(Q147:Q147)</f>
        <v>0.57019468800000017</v>
      </c>
      <c r="S147" s="538"/>
      <c r="T147" s="538"/>
      <c r="U147" s="538"/>
      <c r="V147" s="11">
        <f t="shared" si="12"/>
        <v>0</v>
      </c>
      <c r="W147" s="11">
        <f t="shared" si="10"/>
        <v>0</v>
      </c>
      <c r="X147" s="282"/>
      <c r="Y147" s="103"/>
      <c r="Z147" s="103"/>
    </row>
    <row r="148" spans="1:26" s="316" customFormat="1" ht="19.5" customHeight="1">
      <c r="A148" s="378"/>
      <c r="B148" s="379"/>
      <c r="C148" s="380" t="s">
        <v>162</v>
      </c>
      <c r="D148" s="381"/>
      <c r="E148" s="381"/>
      <c r="F148" s="381"/>
      <c r="G148" s="381"/>
      <c r="H148" s="381"/>
      <c r="I148" s="381"/>
      <c r="J148" s="381"/>
      <c r="K148" s="381"/>
      <c r="L148" s="381"/>
      <c r="M148" s="381"/>
      <c r="N148" s="381"/>
      <c r="O148" s="381"/>
      <c r="P148" s="381"/>
      <c r="Q148" s="381"/>
      <c r="R148" s="381"/>
      <c r="S148" s="381"/>
      <c r="T148" s="381"/>
      <c r="U148" s="382"/>
      <c r="V148" s="383"/>
      <c r="W148" s="383"/>
      <c r="X148" s="320"/>
      <c r="Y148" s="321"/>
      <c r="Z148" s="321"/>
    </row>
    <row r="149" spans="1:26" ht="19.5" customHeight="1">
      <c r="A149" s="559">
        <v>1</v>
      </c>
      <c r="B149" s="560" t="s">
        <v>144</v>
      </c>
      <c r="C149" s="561" t="s">
        <v>163</v>
      </c>
      <c r="D149" s="562" t="s">
        <v>37</v>
      </c>
      <c r="E149" s="562">
        <f>3.5*4</f>
        <v>14</v>
      </c>
      <c r="F149" s="563">
        <v>1.94</v>
      </c>
      <c r="G149" s="563"/>
      <c r="H149" s="563"/>
      <c r="I149" s="557">
        <v>0</v>
      </c>
      <c r="J149" s="557"/>
      <c r="K149" s="557"/>
      <c r="L149" s="222"/>
      <c r="M149" s="307"/>
      <c r="N149" s="307"/>
      <c r="O149" s="307"/>
      <c r="P149" s="308"/>
      <c r="Q149" s="308"/>
      <c r="R149" s="558">
        <f>F150+I150</f>
        <v>4.7681902000000003</v>
      </c>
      <c r="S149" s="558">
        <f>R149+R150</f>
        <v>4.7681902000000003</v>
      </c>
      <c r="T149" s="558">
        <f>E149*S149</f>
        <v>66.754662800000006</v>
      </c>
      <c r="U149" s="538"/>
      <c r="V149" s="11">
        <f t="shared" ref="V149:V158" si="13">+$V$14*S149</f>
        <v>6.3569336919228183</v>
      </c>
      <c r="W149" s="11">
        <f t="shared" ref="W149:W158" si="14">+V149*E149</f>
        <v>88.997071686919455</v>
      </c>
      <c r="X149" s="309"/>
      <c r="Y149" s="181"/>
      <c r="Z149" s="181"/>
    </row>
    <row r="150" spans="1:26" ht="19.5" hidden="1" customHeight="1">
      <c r="A150" s="559"/>
      <c r="B150" s="560"/>
      <c r="C150" s="561"/>
      <c r="D150" s="562"/>
      <c r="E150" s="562"/>
      <c r="F150" s="558">
        <f>F149*$J$13/1000</f>
        <v>4.7681902000000003</v>
      </c>
      <c r="G150" s="558"/>
      <c r="H150" s="558"/>
      <c r="I150" s="557">
        <f>I149*$Q$13/1000</f>
        <v>0</v>
      </c>
      <c r="J150" s="557"/>
      <c r="K150" s="557"/>
      <c r="L150" s="222"/>
      <c r="M150" s="307"/>
      <c r="N150" s="307"/>
      <c r="O150" s="307"/>
      <c r="P150" s="308"/>
      <c r="Q150" s="308"/>
      <c r="R150" s="558"/>
      <c r="S150" s="558"/>
      <c r="T150" s="558"/>
      <c r="U150" s="538"/>
      <c r="V150" s="11">
        <f t="shared" si="13"/>
        <v>0</v>
      </c>
      <c r="W150" s="11">
        <f t="shared" si="14"/>
        <v>0</v>
      </c>
      <c r="X150" s="309"/>
      <c r="Y150" s="181"/>
      <c r="Z150" s="181"/>
    </row>
    <row r="151" spans="1:26" ht="19.5" customHeight="1">
      <c r="A151" s="552">
        <f>+A149+1</f>
        <v>2</v>
      </c>
      <c r="B151" s="553" t="s">
        <v>164</v>
      </c>
      <c r="C151" s="554" t="s">
        <v>165</v>
      </c>
      <c r="D151" s="555" t="s">
        <v>37</v>
      </c>
      <c r="E151" s="556">
        <f>+E149</f>
        <v>14</v>
      </c>
      <c r="F151" s="550">
        <f>0.01*56.2</f>
        <v>0.56200000000000006</v>
      </c>
      <c r="G151" s="550"/>
      <c r="H151" s="550"/>
      <c r="I151" s="548"/>
      <c r="J151" s="548"/>
      <c r="K151" s="548"/>
      <c r="L151" s="285"/>
      <c r="M151" s="251"/>
      <c r="N151" s="251"/>
      <c r="O151" s="251"/>
      <c r="P151" s="251"/>
      <c r="Q151" s="251"/>
      <c r="R151" s="549">
        <f>F152+I152</f>
        <v>1.3813004600000001</v>
      </c>
      <c r="S151" s="549">
        <f>R151+R152</f>
        <v>1.3813004600000001</v>
      </c>
      <c r="T151" s="549">
        <f>E151*S151</f>
        <v>19.33820644</v>
      </c>
      <c r="U151" s="310"/>
      <c r="V151" s="11">
        <f t="shared" si="13"/>
        <v>1.8415447086910433</v>
      </c>
      <c r="W151" s="11">
        <f t="shared" si="14"/>
        <v>25.781625921674607</v>
      </c>
      <c r="X151" s="254"/>
      <c r="Y151" s="183"/>
      <c r="Z151" s="184"/>
    </row>
    <row r="152" spans="1:26" ht="19.5" hidden="1" customHeight="1">
      <c r="A152" s="552"/>
      <c r="B152" s="553"/>
      <c r="C152" s="554"/>
      <c r="D152" s="555"/>
      <c r="E152" s="556"/>
      <c r="F152" s="550">
        <f>F151*$J$13/1000</f>
        <v>1.3813004600000001</v>
      </c>
      <c r="G152" s="550"/>
      <c r="H152" s="550"/>
      <c r="I152" s="551">
        <f>J151*$Q$13/1000</f>
        <v>0</v>
      </c>
      <c r="J152" s="551"/>
      <c r="K152" s="551"/>
      <c r="L152" s="285"/>
      <c r="M152" s="251"/>
      <c r="N152" s="251"/>
      <c r="O152" s="251"/>
      <c r="P152" s="251"/>
      <c r="Q152" s="251"/>
      <c r="R152" s="549"/>
      <c r="S152" s="549"/>
      <c r="T152" s="549"/>
      <c r="U152" s="310"/>
      <c r="V152" s="11">
        <f t="shared" si="13"/>
        <v>0</v>
      </c>
      <c r="W152" s="11">
        <f t="shared" si="14"/>
        <v>0</v>
      </c>
      <c r="X152" s="254"/>
      <c r="Y152" s="183"/>
      <c r="Z152" s="184"/>
    </row>
    <row r="153" spans="1:26" ht="27.75" customHeight="1">
      <c r="A153" s="540">
        <f>+A151+1</f>
        <v>3</v>
      </c>
      <c r="B153" s="541" t="s">
        <v>166</v>
      </c>
      <c r="C153" s="542" t="s">
        <v>167</v>
      </c>
      <c r="D153" s="543" t="s">
        <v>80</v>
      </c>
      <c r="E153" s="544">
        <f>3*4</f>
        <v>12</v>
      </c>
      <c r="F153" s="547">
        <v>0.46</v>
      </c>
      <c r="G153" s="547"/>
      <c r="H153" s="547"/>
      <c r="I153" s="538">
        <v>7.0000000000000007E-2</v>
      </c>
      <c r="J153" s="538"/>
      <c r="K153" s="538"/>
      <c r="L153" s="281"/>
      <c r="M153" s="259"/>
      <c r="N153" s="260"/>
      <c r="O153" s="260"/>
      <c r="P153" s="306"/>
      <c r="Q153" s="262"/>
      <c r="R153" s="58">
        <f>F154+I154</f>
        <v>1.3481030000000001</v>
      </c>
      <c r="S153" s="538">
        <f>R153+R154</f>
        <v>4.7360615600000013</v>
      </c>
      <c r="T153" s="538">
        <f>E153*S153</f>
        <v>56.832738720000016</v>
      </c>
      <c r="U153" s="538">
        <f>R154*E153</f>
        <v>40.655502720000008</v>
      </c>
      <c r="V153" s="11">
        <f t="shared" si="13"/>
        <v>6.314099906875474</v>
      </c>
      <c r="W153" s="11">
        <f t="shared" si="14"/>
        <v>75.769198882505691</v>
      </c>
      <c r="X153" s="282"/>
      <c r="Y153" s="103"/>
      <c r="Z153" s="103"/>
    </row>
    <row r="154" spans="1:26" ht="27.75" hidden="1" customHeight="1">
      <c r="A154" s="540"/>
      <c r="B154" s="541"/>
      <c r="C154" s="542"/>
      <c r="D154" s="543"/>
      <c r="E154" s="544"/>
      <c r="F154" s="539">
        <f>F153*$J$13/1000</f>
        <v>1.1306018</v>
      </c>
      <c r="G154" s="539"/>
      <c r="H154" s="539"/>
      <c r="I154" s="538">
        <f>I153*$Q$13/1000</f>
        <v>0.21750120000000001</v>
      </c>
      <c r="J154" s="538"/>
      <c r="K154" s="538"/>
      <c r="L154" s="274" t="s">
        <v>168</v>
      </c>
      <c r="M154" s="259" t="s">
        <v>56</v>
      </c>
      <c r="N154" s="58">
        <v>2.5</v>
      </c>
      <c r="O154" s="260">
        <f>E153*N154</f>
        <v>30</v>
      </c>
      <c r="P154" s="277">
        <v>1.163</v>
      </c>
      <c r="Q154" s="58">
        <f>N154*P154*$N$11</f>
        <v>3.3879585600000008</v>
      </c>
      <c r="R154" s="58">
        <f>SUM(Q154:Q154)</f>
        <v>3.3879585600000008</v>
      </c>
      <c r="S154" s="538"/>
      <c r="T154" s="538"/>
      <c r="U154" s="538"/>
      <c r="V154" s="11">
        <f t="shared" si="13"/>
        <v>0</v>
      </c>
      <c r="W154" s="11">
        <f t="shared" si="14"/>
        <v>0</v>
      </c>
      <c r="X154" s="282"/>
      <c r="Y154" s="103"/>
      <c r="Z154" s="103"/>
    </row>
    <row r="155" spans="1:26" ht="27.75" customHeight="1">
      <c r="A155" s="540">
        <f>+A153+1</f>
        <v>4</v>
      </c>
      <c r="B155" s="541" t="s">
        <v>159</v>
      </c>
      <c r="C155" s="542" t="s">
        <v>169</v>
      </c>
      <c r="D155" s="543" t="s">
        <v>56</v>
      </c>
      <c r="E155" s="544">
        <f>10*4</f>
        <v>40</v>
      </c>
      <c r="F155" s="547">
        <v>0.13</v>
      </c>
      <c r="G155" s="547"/>
      <c r="H155" s="547"/>
      <c r="I155" s="546">
        <v>1.7000000000000001E-2</v>
      </c>
      <c r="J155" s="546"/>
      <c r="K155" s="546"/>
      <c r="L155" s="281"/>
      <c r="M155" s="259"/>
      <c r="N155" s="260"/>
      <c r="O155" s="260"/>
      <c r="P155" s="306"/>
      <c r="Q155" s="262"/>
      <c r="R155" s="58">
        <f>F156+I156</f>
        <v>0.37233962000000004</v>
      </c>
      <c r="S155" s="538">
        <f>R155+R156</f>
        <v>0.94253430800000015</v>
      </c>
      <c r="T155" s="538">
        <f>E155*S155</f>
        <v>37.701372320000004</v>
      </c>
      <c r="U155" s="538">
        <f>R156*E155</f>
        <v>22.807787520000005</v>
      </c>
      <c r="V155" s="11">
        <f t="shared" si="13"/>
        <v>1.2565832835943413</v>
      </c>
      <c r="W155" s="11">
        <f t="shared" si="14"/>
        <v>50.263331343773658</v>
      </c>
      <c r="X155" s="282"/>
      <c r="Y155" s="103"/>
      <c r="Z155" s="103"/>
    </row>
    <row r="156" spans="1:26" ht="27.75" hidden="1" customHeight="1">
      <c r="A156" s="540"/>
      <c r="B156" s="541"/>
      <c r="C156" s="542"/>
      <c r="D156" s="543"/>
      <c r="E156" s="544"/>
      <c r="F156" s="539">
        <f>F155*$J$13/1000</f>
        <v>0.31951790000000002</v>
      </c>
      <c r="G156" s="539"/>
      <c r="H156" s="539"/>
      <c r="I156" s="538">
        <f>I155*$Q$13/1000</f>
        <v>5.2821720000000003E-2</v>
      </c>
      <c r="J156" s="538"/>
      <c r="K156" s="538"/>
      <c r="L156" s="274" t="s">
        <v>161</v>
      </c>
      <c r="M156" s="259" t="s">
        <v>56</v>
      </c>
      <c r="N156" s="58">
        <v>1</v>
      </c>
      <c r="O156" s="311">
        <f>E155*N156</f>
        <v>40</v>
      </c>
      <c r="P156" s="277">
        <f>0.367/3*4</f>
        <v>0.48933333333333334</v>
      </c>
      <c r="Q156" s="58">
        <f>N156*P156*$N$11</f>
        <v>0.57019468800000017</v>
      </c>
      <c r="R156" s="58">
        <f>SUM(Q156:Q156)</f>
        <v>0.57019468800000017</v>
      </c>
      <c r="S156" s="538"/>
      <c r="T156" s="538"/>
      <c r="U156" s="538"/>
      <c r="V156" s="11">
        <f t="shared" si="13"/>
        <v>0</v>
      </c>
      <c r="W156" s="11">
        <f t="shared" si="14"/>
        <v>0</v>
      </c>
      <c r="X156" s="282"/>
      <c r="Y156" s="103"/>
      <c r="Z156" s="103"/>
    </row>
    <row r="157" spans="1:26" ht="27.75" customHeight="1">
      <c r="A157" s="540">
        <f>+A155+1</f>
        <v>5</v>
      </c>
      <c r="B157" s="541" t="s">
        <v>170</v>
      </c>
      <c r="C157" s="542" t="s">
        <v>171</v>
      </c>
      <c r="D157" s="543" t="s">
        <v>80</v>
      </c>
      <c r="E157" s="544">
        <v>4</v>
      </c>
      <c r="F157" s="545">
        <v>0.31</v>
      </c>
      <c r="G157" s="545"/>
      <c r="H157" s="545"/>
      <c r="I157" s="538">
        <v>0.04</v>
      </c>
      <c r="J157" s="538"/>
      <c r="K157" s="538"/>
      <c r="L157" s="281"/>
      <c r="M157" s="259"/>
      <c r="N157" s="260"/>
      <c r="O157" s="260"/>
      <c r="P157" s="306"/>
      <c r="Q157" s="262"/>
      <c r="R157" s="58">
        <f>F158+I158</f>
        <v>0.88621369999999999</v>
      </c>
      <c r="S157" s="538">
        <f>R157+R158</f>
        <v>1.416110228</v>
      </c>
      <c r="T157" s="538">
        <f>E157*S157</f>
        <v>5.6644409119999999</v>
      </c>
      <c r="U157" s="538">
        <f>R158*E157</f>
        <v>2.1195861120000004</v>
      </c>
      <c r="V157" s="11">
        <f t="shared" si="13"/>
        <v>1.8879529637575496</v>
      </c>
      <c r="W157" s="11">
        <f t="shared" si="14"/>
        <v>7.5518118550301985</v>
      </c>
      <c r="X157" s="282"/>
      <c r="Y157" s="103"/>
      <c r="Z157" s="103"/>
    </row>
    <row r="158" spans="1:26" ht="27.75" hidden="1" customHeight="1">
      <c r="A158" s="540"/>
      <c r="B158" s="541"/>
      <c r="C158" s="542"/>
      <c r="D158" s="543"/>
      <c r="E158" s="544"/>
      <c r="F158" s="539">
        <f>F157*$J$13/1000</f>
        <v>0.76192729999999997</v>
      </c>
      <c r="G158" s="539"/>
      <c r="H158" s="539"/>
      <c r="I158" s="538">
        <f>I157*$Q$13/1000</f>
        <v>0.12428640000000001</v>
      </c>
      <c r="J158" s="538"/>
      <c r="K158" s="538"/>
      <c r="L158" s="274" t="s">
        <v>172</v>
      </c>
      <c r="M158" s="259" t="s">
        <v>61</v>
      </c>
      <c r="N158" s="58">
        <v>1.07</v>
      </c>
      <c r="O158" s="260">
        <f>E157*N158</f>
        <v>4.28</v>
      </c>
      <c r="P158" s="277">
        <v>0.42499999999999999</v>
      </c>
      <c r="Q158" s="58">
        <f>N158*P158*$N$11</f>
        <v>0.52989652800000009</v>
      </c>
      <c r="R158" s="58">
        <f>SUM(Q158:Q158)</f>
        <v>0.52989652800000009</v>
      </c>
      <c r="S158" s="538"/>
      <c r="T158" s="538"/>
      <c r="U158" s="538"/>
      <c r="V158" s="11">
        <f t="shared" si="13"/>
        <v>0</v>
      </c>
      <c r="W158" s="11">
        <f t="shared" si="14"/>
        <v>0</v>
      </c>
      <c r="X158" s="282"/>
      <c r="Y158" s="103"/>
      <c r="Z158" s="103"/>
    </row>
    <row r="159" spans="1:26" ht="19.5" customHeight="1">
      <c r="A159" s="338"/>
      <c r="B159" s="339"/>
      <c r="C159" s="526" t="s">
        <v>173</v>
      </c>
      <c r="D159" s="526"/>
      <c r="E159" s="526"/>
      <c r="F159" s="526"/>
      <c r="G159" s="526"/>
      <c r="H159" s="526"/>
      <c r="I159" s="526"/>
      <c r="J159" s="526"/>
      <c r="K159" s="526"/>
      <c r="L159" s="526"/>
      <c r="M159" s="526"/>
      <c r="N159" s="526"/>
      <c r="O159" s="526"/>
      <c r="P159" s="526"/>
      <c r="Q159" s="526"/>
      <c r="R159" s="526"/>
      <c r="S159" s="526"/>
      <c r="T159" s="526"/>
      <c r="U159" s="526"/>
      <c r="V159" s="526"/>
      <c r="W159" s="340">
        <f>SUM(W21:W158)</f>
        <v>83892.295034983137</v>
      </c>
      <c r="X159" s="312">
        <f>SUM(X21:X158)</f>
        <v>0</v>
      </c>
      <c r="Y159" s="188"/>
    </row>
    <row r="160" spans="1:26" ht="19.5" customHeight="1">
      <c r="A160" s="341"/>
      <c r="B160" s="342"/>
      <c r="C160" s="343" t="s">
        <v>174</v>
      </c>
      <c r="D160" s="344"/>
      <c r="E160" s="345"/>
      <c r="F160" s="346"/>
      <c r="G160" s="347"/>
      <c r="H160" s="346"/>
      <c r="I160" s="346"/>
      <c r="J160" s="347"/>
      <c r="K160" s="346"/>
      <c r="L160" s="348"/>
      <c r="M160" s="349"/>
      <c r="N160" s="350"/>
      <c r="O160" s="345"/>
      <c r="P160" s="346"/>
      <c r="Q160" s="347"/>
      <c r="R160" s="345"/>
      <c r="S160" s="345"/>
      <c r="T160" s="351"/>
      <c r="U160" s="352"/>
      <c r="V160" s="353"/>
      <c r="W160" s="354">
        <f>W159*D160</f>
        <v>0</v>
      </c>
      <c r="X160" s="313"/>
    </row>
    <row r="161" spans="1:29" ht="19.5" customHeight="1">
      <c r="A161" s="341"/>
      <c r="B161" s="342"/>
      <c r="C161" s="343" t="s">
        <v>175</v>
      </c>
      <c r="D161" s="344"/>
      <c r="E161" s="345"/>
      <c r="F161" s="346"/>
      <c r="G161" s="347"/>
      <c r="H161" s="346"/>
      <c r="I161" s="346"/>
      <c r="J161" s="347"/>
      <c r="K161" s="346"/>
      <c r="L161" s="348"/>
      <c r="M161" s="349"/>
      <c r="N161" s="350"/>
      <c r="O161" s="345"/>
      <c r="P161" s="346"/>
      <c r="Q161" s="347"/>
      <c r="R161" s="345"/>
      <c r="S161" s="345"/>
      <c r="T161" s="351"/>
      <c r="U161" s="352"/>
      <c r="V161" s="353"/>
      <c r="W161" s="354">
        <f>SUM(W159:W160)</f>
        <v>83892.295034983137</v>
      </c>
      <c r="X161" s="313"/>
    </row>
    <row r="162" spans="1:29" ht="19.5" customHeight="1">
      <c r="A162" s="341"/>
      <c r="B162" s="342"/>
      <c r="C162" s="343" t="s">
        <v>176</v>
      </c>
      <c r="D162" s="344"/>
      <c r="E162" s="345"/>
      <c r="F162" s="346"/>
      <c r="G162" s="347"/>
      <c r="H162" s="346"/>
      <c r="I162" s="346"/>
      <c r="J162" s="347"/>
      <c r="K162" s="346"/>
      <c r="L162" s="348"/>
      <c r="M162" s="349"/>
      <c r="N162" s="350"/>
      <c r="O162" s="345"/>
      <c r="P162" s="346"/>
      <c r="Q162" s="347"/>
      <c r="R162" s="345"/>
      <c r="S162" s="345"/>
      <c r="T162" s="351"/>
      <c r="U162" s="352"/>
      <c r="V162" s="353"/>
      <c r="W162" s="354">
        <f>+#REF!</f>
        <v>0</v>
      </c>
      <c r="X162" s="313"/>
      <c r="Y162" s="5"/>
    </row>
    <row r="163" spans="1:29" ht="19.5" customHeight="1">
      <c r="A163" s="341"/>
      <c r="B163" s="342"/>
      <c r="C163" s="343" t="s">
        <v>175</v>
      </c>
      <c r="D163" s="344"/>
      <c r="E163" s="345"/>
      <c r="F163" s="346"/>
      <c r="G163" s="347"/>
      <c r="H163" s="346"/>
      <c r="I163" s="346"/>
      <c r="J163" s="347"/>
      <c r="K163" s="346"/>
      <c r="L163" s="348"/>
      <c r="M163" s="349"/>
      <c r="N163" s="350"/>
      <c r="O163" s="345"/>
      <c r="P163" s="346"/>
      <c r="Q163" s="347"/>
      <c r="R163" s="345"/>
      <c r="S163" s="345"/>
      <c r="T163" s="351"/>
      <c r="U163" s="352"/>
      <c r="V163" s="353"/>
      <c r="W163" s="354">
        <f>+W161+W162</f>
        <v>83892.295034983137</v>
      </c>
      <c r="X163" s="313"/>
      <c r="Y163" s="322"/>
      <c r="Z163" s="322"/>
      <c r="AA163" s="328"/>
      <c r="AB163" s="328"/>
    </row>
    <row r="164" spans="1:29" ht="19.5" customHeight="1">
      <c r="A164" s="341"/>
      <c r="B164" s="342"/>
      <c r="C164" s="343" t="s">
        <v>177</v>
      </c>
      <c r="D164" s="344">
        <v>0.2</v>
      </c>
      <c r="E164" s="345"/>
      <c r="F164" s="346"/>
      <c r="G164" s="347"/>
      <c r="H164" s="346"/>
      <c r="I164" s="346"/>
      <c r="J164" s="347"/>
      <c r="K164" s="346"/>
      <c r="L164" s="348"/>
      <c r="M164" s="349"/>
      <c r="N164" s="350"/>
      <c r="O164" s="345"/>
      <c r="P164" s="346"/>
      <c r="Q164" s="347"/>
      <c r="R164" s="345"/>
      <c r="S164" s="345"/>
      <c r="T164" s="351"/>
      <c r="U164" s="352"/>
      <c r="V164" s="353"/>
      <c r="W164" s="354">
        <f>+(W163)*D164</f>
        <v>16778.459006996629</v>
      </c>
      <c r="X164" s="313"/>
      <c r="Y164" s="322"/>
      <c r="Z164" s="322"/>
      <c r="AA164" s="328"/>
      <c r="AB164" s="328"/>
    </row>
    <row r="165" spans="1:29" ht="19.5" customHeight="1">
      <c r="A165" s="355"/>
      <c r="B165" s="356"/>
      <c r="C165" s="357" t="s">
        <v>173</v>
      </c>
      <c r="D165" s="358"/>
      <c r="E165" s="359"/>
      <c r="F165" s="360"/>
      <c r="G165" s="361"/>
      <c r="H165" s="360"/>
      <c r="I165" s="360"/>
      <c r="J165" s="361"/>
      <c r="K165" s="360"/>
      <c r="L165" s="362"/>
      <c r="M165" s="363"/>
      <c r="N165" s="364"/>
      <c r="O165" s="359"/>
      <c r="P165" s="360"/>
      <c r="Q165" s="361"/>
      <c r="R165" s="359"/>
      <c r="S165" s="359"/>
      <c r="T165" s="365"/>
      <c r="U165" s="366"/>
      <c r="V165" s="367"/>
      <c r="W165" s="368">
        <f>SUM(W163:W164)</f>
        <v>100670.75404197976</v>
      </c>
      <c r="X165" s="313"/>
      <c r="Y165" s="322"/>
      <c r="Z165" s="322"/>
      <c r="AA165" s="328"/>
      <c r="AB165" s="328"/>
    </row>
    <row r="166" spans="1:29" ht="19.5" customHeight="1">
      <c r="A166" s="355"/>
      <c r="B166" s="356"/>
      <c r="C166" s="357" t="s">
        <v>178</v>
      </c>
      <c r="D166" s="369"/>
      <c r="E166" s="370"/>
      <c r="F166" s="371"/>
      <c r="G166" s="370"/>
      <c r="H166" s="371"/>
      <c r="I166" s="371"/>
      <c r="J166" s="370"/>
      <c r="K166" s="371"/>
      <c r="L166" s="372"/>
      <c r="M166" s="373"/>
      <c r="N166" s="374"/>
      <c r="O166" s="375"/>
      <c r="P166" s="374"/>
      <c r="Q166" s="375"/>
      <c r="R166" s="375"/>
      <c r="S166" s="375"/>
      <c r="T166" s="376"/>
      <c r="U166" s="375"/>
      <c r="V166" s="367"/>
      <c r="W166" s="377">
        <f>+W165</f>
        <v>100670.75404197976</v>
      </c>
      <c r="X166" s="314"/>
      <c r="Y166" s="329">
        <f>+#REF!+#REF!*1.2</f>
        <v>100670.75404197967</v>
      </c>
      <c r="Z166" s="329">
        <f>+W166-Y166</f>
        <v>0</v>
      </c>
      <c r="AA166" s="328"/>
      <c r="AB166" s="328"/>
    </row>
    <row r="167" spans="1:29">
      <c r="A167" s="192"/>
      <c r="B167" s="193"/>
      <c r="C167" s="527"/>
      <c r="D167" s="527"/>
      <c r="E167" s="527"/>
      <c r="F167" s="527"/>
      <c r="G167" s="527"/>
      <c r="H167" s="527"/>
      <c r="I167" s="527"/>
      <c r="J167" s="527"/>
      <c r="K167" s="527"/>
      <c r="L167" s="527"/>
      <c r="M167" s="527"/>
      <c r="N167" s="527"/>
      <c r="O167" s="527"/>
      <c r="P167" s="527"/>
      <c r="Q167" s="527"/>
      <c r="R167" s="527"/>
      <c r="S167" s="527"/>
      <c r="T167" s="527"/>
      <c r="U167" s="527"/>
      <c r="V167" s="527"/>
      <c r="W167" s="527"/>
      <c r="X167" s="203"/>
      <c r="Y167" s="322"/>
      <c r="Z167" s="322"/>
      <c r="AA167" s="328"/>
      <c r="AB167" s="328"/>
    </row>
    <row r="168" spans="1:29" hidden="1">
      <c r="E168" s="322"/>
      <c r="F168" s="323"/>
      <c r="G168" s="323"/>
      <c r="H168" s="323"/>
      <c r="I168" s="323"/>
      <c r="J168" s="323"/>
      <c r="K168" s="323"/>
      <c r="L168" s="324"/>
      <c r="M168" s="322"/>
      <c r="N168" s="322"/>
      <c r="O168" s="322"/>
      <c r="P168" s="325"/>
      <c r="Q168" s="326"/>
      <c r="R168" s="322"/>
      <c r="S168" s="322"/>
      <c r="T168" s="325"/>
      <c r="U168" s="327"/>
      <c r="V168" s="322"/>
      <c r="W168" s="322"/>
      <c r="X168" s="322"/>
      <c r="Y168" s="322"/>
      <c r="Z168" s="322"/>
      <c r="AA168" s="328"/>
      <c r="AB168" s="328"/>
      <c r="AC168" s="328"/>
    </row>
    <row r="169" spans="1:29" hidden="1">
      <c r="E169" s="330"/>
      <c r="F169" s="331"/>
      <c r="G169" s="331"/>
      <c r="H169" s="331"/>
      <c r="I169" s="331"/>
      <c r="J169" s="331"/>
      <c r="K169" s="331"/>
      <c r="L169" s="332"/>
      <c r="M169" s="330"/>
      <c r="N169" s="330"/>
      <c r="O169" s="330"/>
      <c r="P169" s="333"/>
      <c r="Q169" s="334"/>
      <c r="R169" s="330"/>
      <c r="S169" s="330"/>
      <c r="T169" s="333"/>
      <c r="U169" s="335"/>
      <c r="V169" s="336">
        <f>+$V$14*(S169-P170)</f>
        <v>0</v>
      </c>
      <c r="W169" s="337" t="s">
        <v>179</v>
      </c>
      <c r="X169" s="322"/>
      <c r="Y169" s="322"/>
      <c r="Z169" s="322"/>
      <c r="AA169" s="328"/>
      <c r="AB169" s="328"/>
      <c r="AC169" s="328"/>
    </row>
    <row r="170" spans="1:29" hidden="1">
      <c r="E170" s="330"/>
      <c r="F170" s="331"/>
      <c r="G170" s="331"/>
      <c r="H170" s="331"/>
      <c r="I170" s="331"/>
      <c r="J170" s="331"/>
      <c r="K170" s="331"/>
      <c r="L170" s="332"/>
      <c r="M170" s="330"/>
      <c r="N170" s="330"/>
      <c r="O170" s="330"/>
      <c r="P170" s="333"/>
      <c r="Q170" s="334"/>
      <c r="R170" s="330"/>
      <c r="S170" s="330"/>
      <c r="T170" s="333"/>
      <c r="U170" s="335"/>
      <c r="V170" s="330"/>
      <c r="W170" s="330"/>
      <c r="X170" s="322"/>
      <c r="Y170" s="322"/>
      <c r="Z170" s="322"/>
      <c r="AA170" s="328"/>
      <c r="AB170" s="328"/>
      <c r="AC170" s="328"/>
    </row>
    <row r="171" spans="1:29" hidden="1">
      <c r="E171" s="330"/>
      <c r="F171" s="331"/>
      <c r="G171" s="331"/>
      <c r="H171" s="331"/>
      <c r="I171" s="331"/>
      <c r="J171" s="331"/>
      <c r="K171" s="331"/>
      <c r="L171" s="332"/>
      <c r="M171" s="330"/>
      <c r="N171" s="330"/>
      <c r="O171" s="330"/>
      <c r="P171" s="333"/>
      <c r="Q171" s="334"/>
      <c r="R171" s="330"/>
      <c r="S171" s="330"/>
      <c r="T171" s="333"/>
      <c r="U171" s="335"/>
      <c r="V171" s="330"/>
      <c r="W171" s="330"/>
      <c r="X171" s="322"/>
      <c r="Y171" s="322"/>
      <c r="Z171" s="322"/>
      <c r="AA171" s="328"/>
      <c r="AB171" s="328"/>
      <c r="AC171" s="328"/>
    </row>
    <row r="172" spans="1:29">
      <c r="E172" s="330"/>
      <c r="F172" s="331"/>
      <c r="G172" s="331"/>
      <c r="H172" s="331"/>
      <c r="I172" s="331"/>
      <c r="J172" s="331"/>
      <c r="K172" s="331"/>
      <c r="L172" s="332"/>
      <c r="M172" s="330"/>
      <c r="N172" s="330"/>
      <c r="O172" s="330"/>
      <c r="P172" s="333"/>
      <c r="Q172" s="334"/>
      <c r="R172" s="330"/>
      <c r="S172" s="330"/>
      <c r="T172" s="333"/>
      <c r="U172" s="335"/>
      <c r="V172" s="330"/>
      <c r="W172" s="330"/>
      <c r="X172" s="322"/>
      <c r="Y172" s="322"/>
      <c r="Z172" s="322"/>
      <c r="AA172" s="328"/>
      <c r="AB172" s="328"/>
      <c r="AC172" s="328"/>
    </row>
    <row r="173" spans="1:29">
      <c r="E173" s="322"/>
      <c r="F173" s="323"/>
      <c r="G173" s="323"/>
      <c r="H173" s="323"/>
      <c r="I173" s="323"/>
      <c r="J173" s="323"/>
      <c r="K173" s="323"/>
      <c r="L173" s="324"/>
      <c r="M173" s="322"/>
      <c r="N173" s="322"/>
      <c r="O173" s="322"/>
      <c r="P173" s="325"/>
      <c r="Q173" s="326"/>
      <c r="R173" s="322"/>
      <c r="S173" s="322"/>
      <c r="T173" s="325"/>
      <c r="U173" s="327"/>
      <c r="V173" s="322"/>
      <c r="W173" s="322"/>
      <c r="X173" s="322"/>
      <c r="Y173" s="322"/>
      <c r="Z173" s="322"/>
      <c r="AA173" s="328"/>
      <c r="AB173" s="328"/>
      <c r="AC173" s="328"/>
    </row>
  </sheetData>
  <mergeCells count="745">
    <mergeCell ref="A1:W1"/>
    <mergeCell ref="P10:R10"/>
    <mergeCell ref="D11:F11"/>
    <mergeCell ref="N11:P11"/>
    <mergeCell ref="A13:C13"/>
    <mergeCell ref="E13:I13"/>
    <mergeCell ref="J13:L13"/>
    <mergeCell ref="M13:P13"/>
    <mergeCell ref="Q13:S13"/>
    <mergeCell ref="A2:C2"/>
    <mergeCell ref="I14:K14"/>
    <mergeCell ref="A15:A19"/>
    <mergeCell ref="B15:B19"/>
    <mergeCell ref="C15:C19"/>
    <mergeCell ref="D15:D19"/>
    <mergeCell ref="E15:E19"/>
    <mergeCell ref="F15:H19"/>
    <mergeCell ref="I15:K19"/>
    <mergeCell ref="E10:G10"/>
    <mergeCell ref="W15:W19"/>
    <mergeCell ref="X15:X19"/>
    <mergeCell ref="L16:L19"/>
    <mergeCell ref="M16:M19"/>
    <mergeCell ref="N16:N19"/>
    <mergeCell ref="O16:O19"/>
    <mergeCell ref="P16:P19"/>
    <mergeCell ref="Q16:Q19"/>
    <mergeCell ref="L15:Q15"/>
    <mergeCell ref="R15:R19"/>
    <mergeCell ref="S15:S19"/>
    <mergeCell ref="T15:T19"/>
    <mergeCell ref="U15:U19"/>
    <mergeCell ref="V15:V19"/>
    <mergeCell ref="R22:R23"/>
    <mergeCell ref="S22:S23"/>
    <mergeCell ref="T22:T23"/>
    <mergeCell ref="U22:U23"/>
    <mergeCell ref="F23:H23"/>
    <mergeCell ref="I23:K23"/>
    <mergeCell ref="F20:H20"/>
    <mergeCell ref="I20:K20"/>
    <mergeCell ref="F22:H22"/>
    <mergeCell ref="I22:K22"/>
    <mergeCell ref="I24:K24"/>
    <mergeCell ref="R24:R25"/>
    <mergeCell ref="S24:S25"/>
    <mergeCell ref="T24:T25"/>
    <mergeCell ref="U24:U25"/>
    <mergeCell ref="F25:H25"/>
    <mergeCell ref="I25:K25"/>
    <mergeCell ref="A24:A25"/>
    <mergeCell ref="B24:B25"/>
    <mergeCell ref="C24:C25"/>
    <mergeCell ref="D24:D25"/>
    <mergeCell ref="E24:E25"/>
    <mergeCell ref="F24:H24"/>
    <mergeCell ref="I26:K26"/>
    <mergeCell ref="R26:R27"/>
    <mergeCell ref="S26:S27"/>
    <mergeCell ref="T26:T27"/>
    <mergeCell ref="U26:U27"/>
    <mergeCell ref="F27:H27"/>
    <mergeCell ref="I27:K27"/>
    <mergeCell ref="A26:A27"/>
    <mergeCell ref="B26:B27"/>
    <mergeCell ref="C26:C27"/>
    <mergeCell ref="D26:D27"/>
    <mergeCell ref="E26:E27"/>
    <mergeCell ref="F26:H26"/>
    <mergeCell ref="I28:K28"/>
    <mergeCell ref="R28:R29"/>
    <mergeCell ref="S28:S29"/>
    <mergeCell ref="T28:T29"/>
    <mergeCell ref="U28:U29"/>
    <mergeCell ref="F29:H29"/>
    <mergeCell ref="I29:K29"/>
    <mergeCell ref="A28:A29"/>
    <mergeCell ref="B28:B29"/>
    <mergeCell ref="C28:C29"/>
    <mergeCell ref="D28:D29"/>
    <mergeCell ref="E28:E29"/>
    <mergeCell ref="F28:H28"/>
    <mergeCell ref="I30:K30"/>
    <mergeCell ref="S30:S31"/>
    <mergeCell ref="T30:T31"/>
    <mergeCell ref="U30:U31"/>
    <mergeCell ref="F31:H31"/>
    <mergeCell ref="I31:K31"/>
    <mergeCell ref="A30:A31"/>
    <mergeCell ref="B30:B31"/>
    <mergeCell ref="C30:C31"/>
    <mergeCell ref="D30:D31"/>
    <mergeCell ref="E30:E31"/>
    <mergeCell ref="F30:H30"/>
    <mergeCell ref="I32:K32"/>
    <mergeCell ref="R32:R33"/>
    <mergeCell ref="S32:S33"/>
    <mergeCell ref="T32:T33"/>
    <mergeCell ref="U32:U33"/>
    <mergeCell ref="F33:H33"/>
    <mergeCell ref="I33:K33"/>
    <mergeCell ref="A32:A33"/>
    <mergeCell ref="B32:B33"/>
    <mergeCell ref="C32:C33"/>
    <mergeCell ref="D32:D33"/>
    <mergeCell ref="E32:E33"/>
    <mergeCell ref="F32:H32"/>
    <mergeCell ref="I34:K34"/>
    <mergeCell ref="R34:R35"/>
    <mergeCell ref="S34:S35"/>
    <mergeCell ref="T34:T35"/>
    <mergeCell ref="U34:U35"/>
    <mergeCell ref="F35:H35"/>
    <mergeCell ref="I35:K35"/>
    <mergeCell ref="A34:A35"/>
    <mergeCell ref="B34:B35"/>
    <mergeCell ref="C34:C35"/>
    <mergeCell ref="D34:D35"/>
    <mergeCell ref="E34:E35"/>
    <mergeCell ref="F34:H34"/>
    <mergeCell ref="I36:K36"/>
    <mergeCell ref="R36:R37"/>
    <mergeCell ref="S36:S37"/>
    <mergeCell ref="T36:T37"/>
    <mergeCell ref="U36:U37"/>
    <mergeCell ref="F37:H37"/>
    <mergeCell ref="I37:K37"/>
    <mergeCell ref="A36:A37"/>
    <mergeCell ref="B36:B37"/>
    <mergeCell ref="C36:C37"/>
    <mergeCell ref="D36:D37"/>
    <mergeCell ref="E36:E37"/>
    <mergeCell ref="F36:H36"/>
    <mergeCell ref="I38:K38"/>
    <mergeCell ref="R38:R39"/>
    <mergeCell ref="S38:S39"/>
    <mergeCell ref="T38:T39"/>
    <mergeCell ref="U38:U39"/>
    <mergeCell ref="F39:H39"/>
    <mergeCell ref="I39:K39"/>
    <mergeCell ref="A38:A39"/>
    <mergeCell ref="B38:B39"/>
    <mergeCell ref="C38:C39"/>
    <mergeCell ref="D38:D39"/>
    <mergeCell ref="E38:E39"/>
    <mergeCell ref="F38:H38"/>
    <mergeCell ref="I40:K40"/>
    <mergeCell ref="S40:S41"/>
    <mergeCell ref="T40:T41"/>
    <mergeCell ref="U40:U41"/>
    <mergeCell ref="F41:H41"/>
    <mergeCell ref="I41:K41"/>
    <mergeCell ref="A40:A41"/>
    <mergeCell ref="B40:B41"/>
    <mergeCell ref="C40:C41"/>
    <mergeCell ref="D40:D41"/>
    <mergeCell ref="E40:E41"/>
    <mergeCell ref="F40:H40"/>
    <mergeCell ref="I42:K42"/>
    <mergeCell ref="S42:S45"/>
    <mergeCell ref="T42:T45"/>
    <mergeCell ref="U42:U45"/>
    <mergeCell ref="F43:H45"/>
    <mergeCell ref="I43:K45"/>
    <mergeCell ref="R43:R45"/>
    <mergeCell ref="A42:A45"/>
    <mergeCell ref="B42:B45"/>
    <mergeCell ref="C42:C45"/>
    <mergeCell ref="D42:D45"/>
    <mergeCell ref="E42:E45"/>
    <mergeCell ref="F42:H42"/>
    <mergeCell ref="I46:K46"/>
    <mergeCell ref="S46:S47"/>
    <mergeCell ref="T46:T47"/>
    <mergeCell ref="U46:U47"/>
    <mergeCell ref="F47:H47"/>
    <mergeCell ref="I47:K47"/>
    <mergeCell ref="A46:A47"/>
    <mergeCell ref="B46:B47"/>
    <mergeCell ref="C46:C47"/>
    <mergeCell ref="D46:D47"/>
    <mergeCell ref="E46:E47"/>
    <mergeCell ref="F46:H46"/>
    <mergeCell ref="I48:K48"/>
    <mergeCell ref="S48:S51"/>
    <mergeCell ref="T48:T51"/>
    <mergeCell ref="U48:U51"/>
    <mergeCell ref="F49:H51"/>
    <mergeCell ref="I49:K51"/>
    <mergeCell ref="R49:R51"/>
    <mergeCell ref="A48:A51"/>
    <mergeCell ref="B48:B51"/>
    <mergeCell ref="C48:C51"/>
    <mergeCell ref="D48:D51"/>
    <mergeCell ref="E48:E51"/>
    <mergeCell ref="F48:H48"/>
    <mergeCell ref="I52:K52"/>
    <mergeCell ref="S52:S53"/>
    <mergeCell ref="T52:T53"/>
    <mergeCell ref="U52:U53"/>
    <mergeCell ref="F53:H53"/>
    <mergeCell ref="I53:K53"/>
    <mergeCell ref="A52:A53"/>
    <mergeCell ref="B52:B53"/>
    <mergeCell ref="C52:C53"/>
    <mergeCell ref="D52:D53"/>
    <mergeCell ref="E52:E53"/>
    <mergeCell ref="F52:H52"/>
    <mergeCell ref="I54:K54"/>
    <mergeCell ref="S54:S57"/>
    <mergeCell ref="T54:T57"/>
    <mergeCell ref="U54:U57"/>
    <mergeCell ref="F55:H57"/>
    <mergeCell ref="I55:K57"/>
    <mergeCell ref="R55:R57"/>
    <mergeCell ref="A54:A57"/>
    <mergeCell ref="B54:B57"/>
    <mergeCell ref="C54:C57"/>
    <mergeCell ref="D54:D57"/>
    <mergeCell ref="E54:E57"/>
    <mergeCell ref="F54:H54"/>
    <mergeCell ref="I58:K58"/>
    <mergeCell ref="S58:S59"/>
    <mergeCell ref="T58:T59"/>
    <mergeCell ref="U58:U59"/>
    <mergeCell ref="F59:H59"/>
    <mergeCell ref="I59:K59"/>
    <mergeCell ref="A58:A59"/>
    <mergeCell ref="B58:B59"/>
    <mergeCell ref="C58:C59"/>
    <mergeCell ref="D58:D59"/>
    <mergeCell ref="E58:E59"/>
    <mergeCell ref="F58:H58"/>
    <mergeCell ref="I60:K60"/>
    <mergeCell ref="S60:S63"/>
    <mergeCell ref="T60:T63"/>
    <mergeCell ref="U60:U63"/>
    <mergeCell ref="F61:H63"/>
    <mergeCell ref="I61:K63"/>
    <mergeCell ref="R61:R63"/>
    <mergeCell ref="A60:A63"/>
    <mergeCell ref="B60:B63"/>
    <mergeCell ref="C60:C63"/>
    <mergeCell ref="D60:D63"/>
    <mergeCell ref="E60:E63"/>
    <mergeCell ref="F60:H60"/>
    <mergeCell ref="I64:K64"/>
    <mergeCell ref="S64:S66"/>
    <mergeCell ref="T64:T66"/>
    <mergeCell ref="U64:U66"/>
    <mergeCell ref="F65:H66"/>
    <mergeCell ref="I65:K66"/>
    <mergeCell ref="R65:R66"/>
    <mergeCell ref="A64:A66"/>
    <mergeCell ref="B64:B66"/>
    <mergeCell ref="C64:C66"/>
    <mergeCell ref="D64:D66"/>
    <mergeCell ref="E64:E66"/>
    <mergeCell ref="F64:H64"/>
    <mergeCell ref="I67:K67"/>
    <mergeCell ref="S67:S68"/>
    <mergeCell ref="T67:T68"/>
    <mergeCell ref="U67:U68"/>
    <mergeCell ref="F68:H68"/>
    <mergeCell ref="I68:K68"/>
    <mergeCell ref="A67:A68"/>
    <mergeCell ref="B67:B68"/>
    <mergeCell ref="C67:C68"/>
    <mergeCell ref="D67:D68"/>
    <mergeCell ref="E67:E68"/>
    <mergeCell ref="F67:H67"/>
    <mergeCell ref="I69:K69"/>
    <mergeCell ref="S69:S70"/>
    <mergeCell ref="T69:T70"/>
    <mergeCell ref="U69:U70"/>
    <mergeCell ref="F70:H70"/>
    <mergeCell ref="I70:K70"/>
    <mergeCell ref="A69:A70"/>
    <mergeCell ref="B69:B70"/>
    <mergeCell ref="C69:C70"/>
    <mergeCell ref="D69:D70"/>
    <mergeCell ref="E69:E70"/>
    <mergeCell ref="F69:H69"/>
    <mergeCell ref="I71:K71"/>
    <mergeCell ref="S71:S72"/>
    <mergeCell ref="T71:T72"/>
    <mergeCell ref="U71:U72"/>
    <mergeCell ref="F72:H72"/>
    <mergeCell ref="I72:K72"/>
    <mergeCell ref="A71:A72"/>
    <mergeCell ref="B71:B72"/>
    <mergeCell ref="C71:C72"/>
    <mergeCell ref="D71:D72"/>
    <mergeCell ref="E71:E72"/>
    <mergeCell ref="F71:H71"/>
    <mergeCell ref="I73:K73"/>
    <mergeCell ref="S73:S74"/>
    <mergeCell ref="T73:T74"/>
    <mergeCell ref="U73:U74"/>
    <mergeCell ref="F74:H74"/>
    <mergeCell ref="I74:K74"/>
    <mergeCell ref="A73:A74"/>
    <mergeCell ref="B73:B74"/>
    <mergeCell ref="C73:C74"/>
    <mergeCell ref="D73:D74"/>
    <mergeCell ref="E73:E74"/>
    <mergeCell ref="F73:H73"/>
    <mergeCell ref="I75:K75"/>
    <mergeCell ref="S75:S76"/>
    <mergeCell ref="T75:T76"/>
    <mergeCell ref="U75:U76"/>
    <mergeCell ref="F76:H76"/>
    <mergeCell ref="I76:K76"/>
    <mergeCell ref="A75:A76"/>
    <mergeCell ref="B75:B76"/>
    <mergeCell ref="C75:C76"/>
    <mergeCell ref="D75:D76"/>
    <mergeCell ref="E75:E76"/>
    <mergeCell ref="F75:H75"/>
    <mergeCell ref="I77:K77"/>
    <mergeCell ref="S77:S78"/>
    <mergeCell ref="T77:T78"/>
    <mergeCell ref="U77:U78"/>
    <mergeCell ref="F78:H78"/>
    <mergeCell ref="I78:K78"/>
    <mergeCell ref="A77:A78"/>
    <mergeCell ref="B77:B78"/>
    <mergeCell ref="C77:C78"/>
    <mergeCell ref="D77:D78"/>
    <mergeCell ref="E77:E78"/>
    <mergeCell ref="F77:H77"/>
    <mergeCell ref="I79:K79"/>
    <mergeCell ref="S79:S80"/>
    <mergeCell ref="T79:T80"/>
    <mergeCell ref="U79:U80"/>
    <mergeCell ref="F80:H80"/>
    <mergeCell ref="I80:K80"/>
    <mergeCell ref="A79:A80"/>
    <mergeCell ref="B79:B80"/>
    <mergeCell ref="C79:C80"/>
    <mergeCell ref="D79:D80"/>
    <mergeCell ref="E79:E80"/>
    <mergeCell ref="F79:H79"/>
    <mergeCell ref="I81:K81"/>
    <mergeCell ref="S81:S82"/>
    <mergeCell ref="T81:T82"/>
    <mergeCell ref="U81:U82"/>
    <mergeCell ref="F82:H82"/>
    <mergeCell ref="I82:K82"/>
    <mergeCell ref="A81:A82"/>
    <mergeCell ref="B81:B82"/>
    <mergeCell ref="C81:C82"/>
    <mergeCell ref="D81:D82"/>
    <mergeCell ref="E81:E82"/>
    <mergeCell ref="F81:H81"/>
    <mergeCell ref="I83:K83"/>
    <mergeCell ref="S83:S84"/>
    <mergeCell ref="T83:T84"/>
    <mergeCell ref="U83:U84"/>
    <mergeCell ref="F84:H84"/>
    <mergeCell ref="I84:K84"/>
    <mergeCell ref="A83:A84"/>
    <mergeCell ref="B83:B84"/>
    <mergeCell ref="C83:C84"/>
    <mergeCell ref="D83:D84"/>
    <mergeCell ref="E83:E84"/>
    <mergeCell ref="F83:H83"/>
    <mergeCell ref="I85:K85"/>
    <mergeCell ref="S85:S87"/>
    <mergeCell ref="T85:T87"/>
    <mergeCell ref="U85:U87"/>
    <mergeCell ref="F86:H87"/>
    <mergeCell ref="I86:K87"/>
    <mergeCell ref="R86:R87"/>
    <mergeCell ref="A85:A87"/>
    <mergeCell ref="B85:B87"/>
    <mergeCell ref="C85:C87"/>
    <mergeCell ref="D85:D87"/>
    <mergeCell ref="E85:E87"/>
    <mergeCell ref="F85:H85"/>
    <mergeCell ref="I88:K88"/>
    <mergeCell ref="S88:S89"/>
    <mergeCell ref="T88:T89"/>
    <mergeCell ref="U88:U89"/>
    <mergeCell ref="F89:H89"/>
    <mergeCell ref="I89:K89"/>
    <mergeCell ref="A88:A89"/>
    <mergeCell ref="B88:B89"/>
    <mergeCell ref="C88:C89"/>
    <mergeCell ref="D88:D89"/>
    <mergeCell ref="E88:E89"/>
    <mergeCell ref="F88:H88"/>
    <mergeCell ref="I90:K90"/>
    <mergeCell ref="S90:S91"/>
    <mergeCell ref="T90:T91"/>
    <mergeCell ref="U90:U91"/>
    <mergeCell ref="F91:H91"/>
    <mergeCell ref="I91:K91"/>
    <mergeCell ref="A90:A91"/>
    <mergeCell ref="B90:B91"/>
    <mergeCell ref="C90:C91"/>
    <mergeCell ref="D90:D91"/>
    <mergeCell ref="E90:E91"/>
    <mergeCell ref="F90:H90"/>
    <mergeCell ref="I92:K92"/>
    <mergeCell ref="S92:S95"/>
    <mergeCell ref="T92:T95"/>
    <mergeCell ref="U92:U95"/>
    <mergeCell ref="F93:H95"/>
    <mergeCell ref="I93:K95"/>
    <mergeCell ref="R93:R95"/>
    <mergeCell ref="A92:A95"/>
    <mergeCell ref="B92:B95"/>
    <mergeCell ref="C92:C95"/>
    <mergeCell ref="D92:D95"/>
    <mergeCell ref="E92:E95"/>
    <mergeCell ref="F92:H92"/>
    <mergeCell ref="I96:K96"/>
    <mergeCell ref="R96:R97"/>
    <mergeCell ref="S96:S97"/>
    <mergeCell ref="T96:T97"/>
    <mergeCell ref="U96:U97"/>
    <mergeCell ref="F97:H97"/>
    <mergeCell ref="I97:K97"/>
    <mergeCell ref="A96:A97"/>
    <mergeCell ref="B96:B97"/>
    <mergeCell ref="C96:C97"/>
    <mergeCell ref="D96:D97"/>
    <mergeCell ref="E96:E97"/>
    <mergeCell ref="F96:H96"/>
    <mergeCell ref="I98:K98"/>
    <mergeCell ref="R98:R99"/>
    <mergeCell ref="S98:S99"/>
    <mergeCell ref="T98:T99"/>
    <mergeCell ref="U98:U99"/>
    <mergeCell ref="F99:H99"/>
    <mergeCell ref="I99:K99"/>
    <mergeCell ref="A98:A99"/>
    <mergeCell ref="B98:B99"/>
    <mergeCell ref="C98:C99"/>
    <mergeCell ref="D98:D99"/>
    <mergeCell ref="E98:E99"/>
    <mergeCell ref="F98:H98"/>
    <mergeCell ref="I100:K100"/>
    <mergeCell ref="R100:R101"/>
    <mergeCell ref="S100:S101"/>
    <mergeCell ref="T100:T101"/>
    <mergeCell ref="U100:U101"/>
    <mergeCell ref="F101:H101"/>
    <mergeCell ref="I101:K101"/>
    <mergeCell ref="A100:A101"/>
    <mergeCell ref="B100:B101"/>
    <mergeCell ref="C100:C101"/>
    <mergeCell ref="D100:D101"/>
    <mergeCell ref="E100:E101"/>
    <mergeCell ref="F100:H100"/>
    <mergeCell ref="I102:K102"/>
    <mergeCell ref="S102:S105"/>
    <mergeCell ref="T102:T105"/>
    <mergeCell ref="U102:U105"/>
    <mergeCell ref="F103:H105"/>
    <mergeCell ref="I103:K105"/>
    <mergeCell ref="R103:R105"/>
    <mergeCell ref="A102:A105"/>
    <mergeCell ref="B102:B105"/>
    <mergeCell ref="C102:C105"/>
    <mergeCell ref="D102:D105"/>
    <mergeCell ref="E102:E105"/>
    <mergeCell ref="F102:H102"/>
    <mergeCell ref="I106:K106"/>
    <mergeCell ref="R106:R107"/>
    <mergeCell ref="S106:S107"/>
    <mergeCell ref="T106:T107"/>
    <mergeCell ref="U106:U107"/>
    <mergeCell ref="F107:H107"/>
    <mergeCell ref="I107:K107"/>
    <mergeCell ref="A106:A107"/>
    <mergeCell ref="B106:B107"/>
    <mergeCell ref="C106:C107"/>
    <mergeCell ref="D106:D107"/>
    <mergeCell ref="E106:E107"/>
    <mergeCell ref="F106:H106"/>
    <mergeCell ref="I108:K108"/>
    <mergeCell ref="S108:S110"/>
    <mergeCell ref="T108:T110"/>
    <mergeCell ref="U108:U110"/>
    <mergeCell ref="F109:H110"/>
    <mergeCell ref="I109:K110"/>
    <mergeCell ref="R109:R110"/>
    <mergeCell ref="A108:A110"/>
    <mergeCell ref="B108:B110"/>
    <mergeCell ref="C108:C110"/>
    <mergeCell ref="D108:D110"/>
    <mergeCell ref="E108:E110"/>
    <mergeCell ref="F108:H108"/>
    <mergeCell ref="I111:K111"/>
    <mergeCell ref="S111:S113"/>
    <mergeCell ref="T111:T113"/>
    <mergeCell ref="U111:U113"/>
    <mergeCell ref="F112:H113"/>
    <mergeCell ref="I112:K113"/>
    <mergeCell ref="R112:R113"/>
    <mergeCell ref="A111:A113"/>
    <mergeCell ref="B111:B113"/>
    <mergeCell ref="C111:C113"/>
    <mergeCell ref="D111:D113"/>
    <mergeCell ref="E111:E113"/>
    <mergeCell ref="F111:H111"/>
    <mergeCell ref="I114:K114"/>
    <mergeCell ref="S114:S116"/>
    <mergeCell ref="T114:T116"/>
    <mergeCell ref="U114:U116"/>
    <mergeCell ref="F115:H116"/>
    <mergeCell ref="I115:K116"/>
    <mergeCell ref="R115:R116"/>
    <mergeCell ref="A114:A116"/>
    <mergeCell ref="B114:B116"/>
    <mergeCell ref="C114:C116"/>
    <mergeCell ref="D114:D116"/>
    <mergeCell ref="E114:E116"/>
    <mergeCell ref="F114:H114"/>
    <mergeCell ref="I117:K117"/>
    <mergeCell ref="S117:S119"/>
    <mergeCell ref="T117:T119"/>
    <mergeCell ref="U117:U119"/>
    <mergeCell ref="F118:H119"/>
    <mergeCell ref="I118:K119"/>
    <mergeCell ref="R118:R119"/>
    <mergeCell ref="A117:A119"/>
    <mergeCell ref="B117:B119"/>
    <mergeCell ref="C117:C119"/>
    <mergeCell ref="D117:D119"/>
    <mergeCell ref="E117:E119"/>
    <mergeCell ref="F117:H117"/>
    <mergeCell ref="I120:K120"/>
    <mergeCell ref="S120:S122"/>
    <mergeCell ref="T120:T122"/>
    <mergeCell ref="U120:U122"/>
    <mergeCell ref="F121:H122"/>
    <mergeCell ref="I121:K122"/>
    <mergeCell ref="R121:R122"/>
    <mergeCell ref="A120:A122"/>
    <mergeCell ref="B120:B122"/>
    <mergeCell ref="C120:C122"/>
    <mergeCell ref="D120:D122"/>
    <mergeCell ref="E120:E122"/>
    <mergeCell ref="F120:H120"/>
    <mergeCell ref="I123:K123"/>
    <mergeCell ref="S123:S125"/>
    <mergeCell ref="T123:T125"/>
    <mergeCell ref="U123:U125"/>
    <mergeCell ref="F124:H125"/>
    <mergeCell ref="I124:K125"/>
    <mergeCell ref="R124:R125"/>
    <mergeCell ref="A123:A125"/>
    <mergeCell ref="B123:B125"/>
    <mergeCell ref="C123:C125"/>
    <mergeCell ref="D123:D125"/>
    <mergeCell ref="E123:E125"/>
    <mergeCell ref="F123:H123"/>
    <mergeCell ref="I126:K126"/>
    <mergeCell ref="S126:S128"/>
    <mergeCell ref="T126:T128"/>
    <mergeCell ref="U126:U128"/>
    <mergeCell ref="F127:H128"/>
    <mergeCell ref="I127:K128"/>
    <mergeCell ref="R127:R128"/>
    <mergeCell ref="A126:A128"/>
    <mergeCell ref="B126:B128"/>
    <mergeCell ref="C126:C128"/>
    <mergeCell ref="D126:D128"/>
    <mergeCell ref="E126:E128"/>
    <mergeCell ref="F126:H126"/>
    <mergeCell ref="I129:K129"/>
    <mergeCell ref="S129:S130"/>
    <mergeCell ref="T129:T130"/>
    <mergeCell ref="U129:U130"/>
    <mergeCell ref="F130:H130"/>
    <mergeCell ref="I130:K130"/>
    <mergeCell ref="A129:A130"/>
    <mergeCell ref="B129:B130"/>
    <mergeCell ref="C129:C130"/>
    <mergeCell ref="D129:D130"/>
    <mergeCell ref="E129:E130"/>
    <mergeCell ref="F129:H129"/>
    <mergeCell ref="I131:K131"/>
    <mergeCell ref="S131:S132"/>
    <mergeCell ref="T131:T132"/>
    <mergeCell ref="U131:U132"/>
    <mergeCell ref="F132:H132"/>
    <mergeCell ref="I132:K132"/>
    <mergeCell ref="A131:A132"/>
    <mergeCell ref="B131:B132"/>
    <mergeCell ref="C131:C132"/>
    <mergeCell ref="D131:D132"/>
    <mergeCell ref="E131:E132"/>
    <mergeCell ref="F131:H131"/>
    <mergeCell ref="R134:R135"/>
    <mergeCell ref="S134:S135"/>
    <mergeCell ref="T134:T135"/>
    <mergeCell ref="U134:U135"/>
    <mergeCell ref="F135:H135"/>
    <mergeCell ref="I135:K135"/>
    <mergeCell ref="F133:L133"/>
    <mergeCell ref="A134:A135"/>
    <mergeCell ref="B134:B135"/>
    <mergeCell ref="C134:C135"/>
    <mergeCell ref="D134:D135"/>
    <mergeCell ref="E134:E135"/>
    <mergeCell ref="F134:H134"/>
    <mergeCell ref="I134:K134"/>
    <mergeCell ref="I136:K136"/>
    <mergeCell ref="R136:R137"/>
    <mergeCell ref="S136:S137"/>
    <mergeCell ref="T136:T137"/>
    <mergeCell ref="F137:H137"/>
    <mergeCell ref="I137:K137"/>
    <mergeCell ref="A136:A137"/>
    <mergeCell ref="B136:B137"/>
    <mergeCell ref="C136:C137"/>
    <mergeCell ref="D136:D137"/>
    <mergeCell ref="E136:E137"/>
    <mergeCell ref="F136:H136"/>
    <mergeCell ref="I138:K138"/>
    <mergeCell ref="S138:S141"/>
    <mergeCell ref="T138:T141"/>
    <mergeCell ref="U138:U141"/>
    <mergeCell ref="F139:H141"/>
    <mergeCell ref="I139:K141"/>
    <mergeCell ref="R139:R141"/>
    <mergeCell ref="A138:A141"/>
    <mergeCell ref="B138:B141"/>
    <mergeCell ref="C138:C141"/>
    <mergeCell ref="D138:D141"/>
    <mergeCell ref="E138:E141"/>
    <mergeCell ref="F138:H138"/>
    <mergeCell ref="I142:K142"/>
    <mergeCell ref="S142:S143"/>
    <mergeCell ref="T142:T143"/>
    <mergeCell ref="U142:U143"/>
    <mergeCell ref="F143:H143"/>
    <mergeCell ref="I143:K143"/>
    <mergeCell ref="A142:A143"/>
    <mergeCell ref="B142:B143"/>
    <mergeCell ref="C142:C143"/>
    <mergeCell ref="D142:D143"/>
    <mergeCell ref="E142:E143"/>
    <mergeCell ref="F142:H142"/>
    <mergeCell ref="I144:K144"/>
    <mergeCell ref="S144:S145"/>
    <mergeCell ref="T144:T145"/>
    <mergeCell ref="U144:U145"/>
    <mergeCell ref="F145:H145"/>
    <mergeCell ref="I145:K145"/>
    <mergeCell ref="A144:A145"/>
    <mergeCell ref="B144:B145"/>
    <mergeCell ref="C144:C145"/>
    <mergeCell ref="D144:D145"/>
    <mergeCell ref="E144:E145"/>
    <mergeCell ref="F144:H144"/>
    <mergeCell ref="I146:K146"/>
    <mergeCell ref="S146:S147"/>
    <mergeCell ref="T146:T147"/>
    <mergeCell ref="U146:U147"/>
    <mergeCell ref="F147:H147"/>
    <mergeCell ref="I147:K147"/>
    <mergeCell ref="A146:A147"/>
    <mergeCell ref="B146:B147"/>
    <mergeCell ref="C146:C147"/>
    <mergeCell ref="D146:D147"/>
    <mergeCell ref="E146:E147"/>
    <mergeCell ref="F146:H146"/>
    <mergeCell ref="I149:K149"/>
    <mergeCell ref="R149:R150"/>
    <mergeCell ref="S149:S150"/>
    <mergeCell ref="T149:T150"/>
    <mergeCell ref="U149:U150"/>
    <mergeCell ref="F150:H150"/>
    <mergeCell ref="I150:K150"/>
    <mergeCell ref="A149:A150"/>
    <mergeCell ref="B149:B150"/>
    <mergeCell ref="C149:C150"/>
    <mergeCell ref="D149:D150"/>
    <mergeCell ref="E149:E150"/>
    <mergeCell ref="F149:H149"/>
    <mergeCell ref="I151:K151"/>
    <mergeCell ref="R151:R152"/>
    <mergeCell ref="S151:S152"/>
    <mergeCell ref="T151:T152"/>
    <mergeCell ref="F152:H152"/>
    <mergeCell ref="I152:K152"/>
    <mergeCell ref="A151:A152"/>
    <mergeCell ref="B151:B152"/>
    <mergeCell ref="C151:C152"/>
    <mergeCell ref="D151:D152"/>
    <mergeCell ref="E151:E152"/>
    <mergeCell ref="F151:H151"/>
    <mergeCell ref="I153:K153"/>
    <mergeCell ref="S153:S154"/>
    <mergeCell ref="T153:T154"/>
    <mergeCell ref="U153:U154"/>
    <mergeCell ref="F154:H154"/>
    <mergeCell ref="I154:K154"/>
    <mergeCell ref="A153:A154"/>
    <mergeCell ref="B153:B154"/>
    <mergeCell ref="C153:C154"/>
    <mergeCell ref="D153:D154"/>
    <mergeCell ref="E153:E154"/>
    <mergeCell ref="F153:H153"/>
    <mergeCell ref="I155:K155"/>
    <mergeCell ref="S155:S156"/>
    <mergeCell ref="T155:T156"/>
    <mergeCell ref="U155:U156"/>
    <mergeCell ref="F156:H156"/>
    <mergeCell ref="I156:K156"/>
    <mergeCell ref="A155:A156"/>
    <mergeCell ref="B155:B156"/>
    <mergeCell ref="C155:C156"/>
    <mergeCell ref="D155:D156"/>
    <mergeCell ref="E155:E156"/>
    <mergeCell ref="F155:H155"/>
    <mergeCell ref="A22:A23"/>
    <mergeCell ref="A4:W4"/>
    <mergeCell ref="C159:V159"/>
    <mergeCell ref="C167:W167"/>
    <mergeCell ref="P9:R9"/>
    <mergeCell ref="A9:B9"/>
    <mergeCell ref="E7:R7"/>
    <mergeCell ref="E6:R6"/>
    <mergeCell ref="E22:E23"/>
    <mergeCell ref="D22:D23"/>
    <mergeCell ref="C22:C23"/>
    <mergeCell ref="B22:B23"/>
    <mergeCell ref="I157:K157"/>
    <mergeCell ref="S157:S158"/>
    <mergeCell ref="T157:T158"/>
    <mergeCell ref="U157:U158"/>
    <mergeCell ref="F158:H158"/>
    <mergeCell ref="I158:K158"/>
    <mergeCell ref="A157:A158"/>
    <mergeCell ref="B157:B158"/>
    <mergeCell ref="C157:C158"/>
    <mergeCell ref="D157:D158"/>
    <mergeCell ref="E157:E158"/>
    <mergeCell ref="F157:H157"/>
  </mergeCells>
  <pageMargins left="0.7" right="0.7" top="0.75" bottom="0.75" header="0.3" footer="0.3"/>
  <pageSetup scale="88" orientation="portrait" verticalDpi="0" r:id="rId1"/>
  <rowBreaks count="1" manualBreakCount="1">
    <brk id="87" max="29" man="1"/>
  </rowBreaks>
  <colBreaks count="1" manualBreakCount="1">
    <brk id="30" max="1048575" man="1"/>
  </colBreaks>
  <ignoredErrors>
    <ignoredError sqref="V20:W2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9B2B3-7935-472F-8E61-3D473BB77F06}">
  <dimension ref="A1:AH176"/>
  <sheetViews>
    <sheetView workbookViewId="0">
      <selection activeCell="AE38" sqref="AE38"/>
    </sheetView>
  </sheetViews>
  <sheetFormatPr defaultRowHeight="14.4"/>
  <cols>
    <col min="1" max="1" width="3.44140625" style="194" customWidth="1"/>
    <col min="2" max="2" width="7.5546875" style="194" hidden="1" customWidth="1"/>
    <col min="3" max="3" width="61.44140625" style="315" customWidth="1"/>
    <col min="4" max="4" width="5.88671875" style="189" customWidth="1"/>
    <col min="5" max="5" width="7.109375" style="195" customWidth="1"/>
    <col min="6" max="7" width="2.109375" style="196" hidden="1" customWidth="1"/>
    <col min="8" max="8" width="2.33203125" style="196" hidden="1" customWidth="1"/>
    <col min="9" max="9" width="1.88671875" style="196" hidden="1" customWidth="1"/>
    <col min="10" max="10" width="2.109375" style="196" hidden="1" customWidth="1"/>
    <col min="11" max="11" width="2.44140625" style="196" hidden="1" customWidth="1"/>
    <col min="12" max="12" width="18" style="197" hidden="1" customWidth="1"/>
    <col min="13" max="13" width="4.33203125" style="189" hidden="1" customWidth="1"/>
    <col min="14" max="14" width="5.5546875" style="189" hidden="1" customWidth="1"/>
    <col min="15" max="15" width="6.88671875" style="195" hidden="1" customWidth="1"/>
    <col min="16" max="16" width="5.5546875" style="198" hidden="1" customWidth="1"/>
    <col min="17" max="17" width="5.33203125" style="199" hidden="1" customWidth="1"/>
    <col min="18" max="18" width="5.5546875" style="189" hidden="1" customWidth="1"/>
    <col min="19" max="19" width="5.44140625" style="189" hidden="1" customWidth="1"/>
    <col min="20" max="20" width="7.44140625" style="200" hidden="1" customWidth="1"/>
    <col min="21" max="21" width="7.33203125" style="201" hidden="1" customWidth="1"/>
    <col min="22" max="22" width="9.109375" style="189"/>
    <col min="23" max="23" width="12.33203125" style="196" customWidth="1"/>
    <col min="24" max="24" width="8.44140625" style="189" hidden="1" customWidth="1"/>
    <col min="25" max="25" width="11.88671875" style="189" hidden="1" customWidth="1"/>
    <col min="26" max="27" width="0" hidden="1" customWidth="1"/>
  </cols>
  <sheetData>
    <row r="1" spans="1:25" ht="33" customHeight="1">
      <c r="A1" s="869" t="s">
        <v>270</v>
      </c>
      <c r="B1" s="869"/>
      <c r="C1" s="869"/>
      <c r="D1" s="869"/>
      <c r="E1" s="869"/>
      <c r="F1" s="869"/>
      <c r="G1" s="869"/>
      <c r="H1" s="869"/>
      <c r="I1" s="869"/>
      <c r="J1" s="869"/>
      <c r="K1" s="869"/>
      <c r="L1" s="869"/>
      <c r="M1" s="869"/>
      <c r="N1" s="869"/>
      <c r="O1" s="869"/>
      <c r="P1" s="869"/>
      <c r="Q1" s="869"/>
      <c r="R1" s="869"/>
      <c r="S1" s="869"/>
      <c r="T1" s="869"/>
      <c r="U1" s="869"/>
      <c r="V1" s="869"/>
      <c r="W1" s="869"/>
      <c r="X1" s="869"/>
      <c r="Y1" s="1"/>
    </row>
    <row r="2" spans="1:25" hidden="1">
      <c r="A2" s="870"/>
      <c r="B2" s="870"/>
      <c r="C2" s="870"/>
      <c r="D2" s="399"/>
      <c r="E2" s="400"/>
      <c r="F2" s="401"/>
      <c r="G2" s="401"/>
      <c r="H2" s="401"/>
      <c r="I2" s="401"/>
      <c r="J2" s="401"/>
      <c r="K2" s="401"/>
      <c r="L2" s="402"/>
      <c r="M2" s="403"/>
      <c r="N2" s="404"/>
      <c r="O2" s="404"/>
      <c r="P2" s="405"/>
      <c r="Q2" s="406"/>
      <c r="R2" s="404"/>
      <c r="S2" s="404"/>
      <c r="T2" s="407"/>
      <c r="U2" s="408"/>
      <c r="V2" s="409"/>
      <c r="W2" s="485"/>
      <c r="X2" s="404"/>
      <c r="Y2" s="1"/>
    </row>
    <row r="3" spans="1:25" hidden="1">
      <c r="A3" s="410">
        <v>0</v>
      </c>
      <c r="B3" s="410"/>
      <c r="C3" s="411"/>
      <c r="D3" s="404"/>
      <c r="E3" s="404"/>
      <c r="F3" s="412"/>
      <c r="G3" s="412"/>
      <c r="H3" s="412"/>
      <c r="I3" s="412"/>
      <c r="J3" s="412"/>
      <c r="K3" s="412"/>
      <c r="L3" s="413"/>
      <c r="M3" s="404"/>
      <c r="N3" s="404"/>
      <c r="O3" s="404"/>
      <c r="P3" s="405"/>
      <c r="Q3" s="406"/>
      <c r="R3" s="404"/>
      <c r="S3" s="404"/>
      <c r="T3" s="405"/>
      <c r="U3" s="414"/>
      <c r="V3" s="409"/>
      <c r="W3" s="485"/>
      <c r="X3" s="404"/>
      <c r="Y3" s="1"/>
    </row>
    <row r="4" spans="1:25" ht="16.2">
      <c r="A4" s="871" t="s">
        <v>189</v>
      </c>
      <c r="B4" s="872"/>
      <c r="C4" s="872"/>
      <c r="D4" s="872"/>
      <c r="E4" s="872"/>
      <c r="F4" s="872"/>
      <c r="G4" s="872"/>
      <c r="H4" s="872"/>
      <c r="I4" s="872"/>
      <c r="J4" s="872"/>
      <c r="K4" s="872"/>
      <c r="L4" s="872"/>
      <c r="M4" s="872"/>
      <c r="N4" s="872"/>
      <c r="O4" s="872"/>
      <c r="P4" s="872"/>
      <c r="Q4" s="872"/>
      <c r="R4" s="872"/>
      <c r="S4" s="872"/>
      <c r="T4" s="872"/>
      <c r="U4" s="872"/>
      <c r="V4" s="872"/>
      <c r="W4" s="520" t="str">
        <f>+'[1]1'!C9</f>
        <v xml:space="preserve">№ </v>
      </c>
      <c r="X4" s="415"/>
      <c r="Y4" s="2"/>
    </row>
    <row r="5" spans="1:25" hidden="1">
      <c r="A5" s="410"/>
      <c r="B5" s="410"/>
      <c r="C5" s="411"/>
      <c r="D5" s="404"/>
      <c r="E5" s="404"/>
      <c r="F5" s="412"/>
      <c r="G5" s="412"/>
      <c r="H5" s="412"/>
      <c r="I5" s="412"/>
      <c r="J5" s="412"/>
      <c r="K5" s="412"/>
      <c r="L5" s="413"/>
      <c r="M5" s="404"/>
      <c r="N5" s="404"/>
      <c r="O5" s="404"/>
      <c r="P5" s="405"/>
      <c r="Q5" s="406"/>
      <c r="R5" s="404"/>
      <c r="S5" s="404"/>
      <c r="T5" s="405"/>
      <c r="U5" s="414"/>
      <c r="V5" s="409"/>
      <c r="W5" s="485"/>
      <c r="X5" s="404"/>
      <c r="Y5" s="1"/>
    </row>
    <row r="6" spans="1:25" hidden="1">
      <c r="A6" s="410"/>
      <c r="B6" s="410"/>
      <c r="C6" s="411"/>
      <c r="D6" s="399"/>
      <c r="E6" s="873" t="s">
        <v>1</v>
      </c>
      <c r="F6" s="873"/>
      <c r="G6" s="873"/>
      <c r="H6" s="873"/>
      <c r="I6" s="873"/>
      <c r="J6" s="873"/>
      <c r="K6" s="873"/>
      <c r="L6" s="873"/>
      <c r="M6" s="873"/>
      <c r="N6" s="873"/>
      <c r="O6" s="873"/>
      <c r="P6" s="873"/>
      <c r="Q6" s="873"/>
      <c r="R6" s="873"/>
      <c r="S6" s="404"/>
      <c r="T6" s="405"/>
      <c r="U6" s="414"/>
      <c r="V6" s="409"/>
      <c r="W6" s="412"/>
      <c r="X6" s="416"/>
      <c r="Y6" s="1"/>
    </row>
    <row r="7" spans="1:25" hidden="1">
      <c r="A7" s="410"/>
      <c r="B7" s="410"/>
      <c r="C7" s="411"/>
      <c r="D7" s="404"/>
      <c r="E7" s="874"/>
      <c r="F7" s="874"/>
      <c r="G7" s="874"/>
      <c r="H7" s="874"/>
      <c r="I7" s="874"/>
      <c r="J7" s="874"/>
      <c r="K7" s="874"/>
      <c r="L7" s="874"/>
      <c r="M7" s="874"/>
      <c r="N7" s="874"/>
      <c r="O7" s="874"/>
      <c r="P7" s="874"/>
      <c r="Q7" s="874"/>
      <c r="R7" s="874"/>
      <c r="S7" s="404"/>
      <c r="T7" s="405"/>
      <c r="U7" s="414"/>
      <c r="V7" s="409"/>
      <c r="W7" s="412"/>
      <c r="X7" s="404"/>
      <c r="Y7" s="1"/>
    </row>
    <row r="8" spans="1:25" hidden="1">
      <c r="A8" s="410"/>
      <c r="B8" s="410"/>
      <c r="C8" s="411"/>
      <c r="D8" s="417"/>
      <c r="E8" s="405"/>
      <c r="F8" s="412"/>
      <c r="G8" s="412"/>
      <c r="H8" s="412"/>
      <c r="I8" s="412"/>
      <c r="J8" s="412"/>
      <c r="K8" s="412"/>
      <c r="L8" s="413"/>
      <c r="M8" s="404"/>
      <c r="N8" s="404"/>
      <c r="O8" s="404"/>
      <c r="P8" s="405"/>
      <c r="Q8" s="406"/>
      <c r="R8" s="418"/>
      <c r="S8" s="404"/>
      <c r="T8" s="405"/>
      <c r="U8" s="414"/>
      <c r="V8" s="409"/>
      <c r="W8" s="412"/>
      <c r="X8" s="404"/>
      <c r="Y8" s="1"/>
    </row>
    <row r="9" spans="1:25" hidden="1">
      <c r="A9" s="875" t="s">
        <v>2</v>
      </c>
      <c r="B9" s="875"/>
      <c r="C9" s="411" t="s">
        <v>3</v>
      </c>
      <c r="D9" s="404"/>
      <c r="E9" s="404"/>
      <c r="F9" s="412"/>
      <c r="G9" s="412"/>
      <c r="H9" s="412"/>
      <c r="I9" s="412"/>
      <c r="J9" s="412"/>
      <c r="K9" s="412"/>
      <c r="L9" s="413"/>
      <c r="M9" s="404"/>
      <c r="N9" s="404"/>
      <c r="O9" s="399" t="s">
        <v>4</v>
      </c>
      <c r="P9" s="861" t="e">
        <f>+#REF!</f>
        <v>#REF!</v>
      </c>
      <c r="Q9" s="861"/>
      <c r="R9" s="861"/>
      <c r="S9" s="419" t="s">
        <v>5</v>
      </c>
      <c r="T9" s="405"/>
      <c r="U9" s="414"/>
      <c r="V9" s="409"/>
      <c r="W9" s="412"/>
      <c r="X9" s="404"/>
      <c r="Y9" s="1"/>
    </row>
    <row r="10" spans="1:25" hidden="1">
      <c r="A10" s="420"/>
      <c r="B10" s="420"/>
      <c r="C10" s="421"/>
      <c r="D10" s="422"/>
      <c r="E10" s="860"/>
      <c r="F10" s="860"/>
      <c r="G10" s="860"/>
      <c r="H10" s="412"/>
      <c r="I10" s="412"/>
      <c r="J10" s="412"/>
      <c r="K10" s="412"/>
      <c r="L10" s="413"/>
      <c r="M10" s="404"/>
      <c r="N10" s="404"/>
      <c r="O10" s="399"/>
      <c r="P10" s="861"/>
      <c r="Q10" s="861"/>
      <c r="R10" s="861"/>
      <c r="S10" s="419"/>
      <c r="T10" s="412"/>
      <c r="U10" s="423"/>
      <c r="V10" s="409"/>
      <c r="W10" s="412"/>
      <c r="X10" s="404"/>
      <c r="Y10" s="1"/>
    </row>
    <row r="11" spans="1:25" hidden="1">
      <c r="A11" s="424" t="s">
        <v>6</v>
      </c>
      <c r="B11" s="424"/>
      <c r="C11" s="432"/>
      <c r="D11" s="862">
        <f>+#REF!</f>
        <v>266060</v>
      </c>
      <c r="E11" s="862"/>
      <c r="F11" s="862"/>
      <c r="G11" s="425"/>
      <c r="H11" s="426"/>
      <c r="I11" s="426" t="s">
        <v>7</v>
      </c>
      <c r="J11" s="425"/>
      <c r="K11" s="425"/>
      <c r="L11" s="427" t="s">
        <v>8</v>
      </c>
      <c r="M11" s="428" t="s">
        <v>9</v>
      </c>
      <c r="N11" s="863">
        <f>+#REF!</f>
        <v>1.1652480000000003</v>
      </c>
      <c r="O11" s="863"/>
      <c r="P11" s="863"/>
      <c r="Q11" s="426"/>
      <c r="R11" s="429"/>
      <c r="S11" s="430"/>
      <c r="T11" s="430"/>
      <c r="U11" s="431"/>
      <c r="V11" s="430"/>
      <c r="W11" s="412"/>
      <c r="X11" s="404"/>
      <c r="Y11" s="1"/>
    </row>
    <row r="12" spans="1:25" hidden="1">
      <c r="A12" s="424"/>
      <c r="B12" s="424"/>
      <c r="C12" s="432"/>
      <c r="D12" s="433"/>
      <c r="E12" s="434"/>
      <c r="F12" s="435"/>
      <c r="G12" s="436"/>
      <c r="H12" s="437"/>
      <c r="I12" s="437"/>
      <c r="J12" s="436"/>
      <c r="K12" s="436"/>
      <c r="L12" s="427"/>
      <c r="M12" s="430"/>
      <c r="N12" s="438"/>
      <c r="O12" s="430"/>
      <c r="P12" s="439"/>
      <c r="Q12" s="426"/>
      <c r="R12" s="429"/>
      <c r="S12" s="430"/>
      <c r="T12" s="430"/>
      <c r="U12" s="431"/>
      <c r="V12" s="430"/>
      <c r="W12" s="412"/>
      <c r="X12" s="404"/>
      <c r="Y12" s="1"/>
    </row>
    <row r="13" spans="1:25" hidden="1">
      <c r="A13" s="864" t="s">
        <v>10</v>
      </c>
      <c r="B13" s="865"/>
      <c r="C13" s="865"/>
      <c r="D13" s="440"/>
      <c r="E13" s="866" t="s">
        <v>11</v>
      </c>
      <c r="F13" s="866"/>
      <c r="G13" s="866"/>
      <c r="H13" s="866"/>
      <c r="I13" s="866"/>
      <c r="J13" s="867">
        <f>+#REF!</f>
        <v>2457.83</v>
      </c>
      <c r="K13" s="867"/>
      <c r="L13" s="867"/>
      <c r="M13" s="868" t="s">
        <v>12</v>
      </c>
      <c r="N13" s="868"/>
      <c r="O13" s="868"/>
      <c r="P13" s="868"/>
      <c r="Q13" s="867">
        <f>+#REF!</f>
        <v>3107.16</v>
      </c>
      <c r="R13" s="867"/>
      <c r="S13" s="867"/>
      <c r="T13" s="441"/>
      <c r="U13" s="442"/>
      <c r="V13" s="430"/>
      <c r="W13" s="412"/>
      <c r="X13" s="404"/>
      <c r="Y13" s="1"/>
    </row>
    <row r="14" spans="1:25" ht="15" hidden="1" thickBot="1">
      <c r="A14" s="443"/>
      <c r="B14" s="443"/>
      <c r="C14" s="432"/>
      <c r="D14" s="404"/>
      <c r="E14" s="404"/>
      <c r="F14" s="412"/>
      <c r="G14" s="412"/>
      <c r="H14" s="412"/>
      <c r="I14" s="841"/>
      <c r="J14" s="841"/>
      <c r="K14" s="841"/>
      <c r="L14" s="413"/>
      <c r="M14" s="404"/>
      <c r="N14" s="404"/>
      <c r="O14" s="404"/>
      <c r="P14" s="405"/>
      <c r="Q14" s="406"/>
      <c r="R14" s="418"/>
      <c r="S14" s="404"/>
      <c r="T14" s="426"/>
      <c r="U14" s="431">
        <f>+D11/35000*7.5</f>
        <v>57.012857142857143</v>
      </c>
      <c r="V14" s="444">
        <f>1.133*1.03*(#REF!+1)*(#REF!+1)*1.11</f>
        <v>1.333196333469</v>
      </c>
      <c r="W14" s="486"/>
      <c r="X14" s="445"/>
      <c r="Y14" s="1"/>
    </row>
    <row r="15" spans="1:25">
      <c r="A15" s="842" t="s">
        <v>190</v>
      </c>
      <c r="B15" s="829" t="s">
        <v>14</v>
      </c>
      <c r="C15" s="845" t="s">
        <v>191</v>
      </c>
      <c r="D15" s="848" t="s">
        <v>192</v>
      </c>
      <c r="E15" s="848" t="s">
        <v>193</v>
      </c>
      <c r="F15" s="851" t="s">
        <v>18</v>
      </c>
      <c r="G15" s="852"/>
      <c r="H15" s="853"/>
      <c r="I15" s="851" t="s">
        <v>19</v>
      </c>
      <c r="J15" s="852"/>
      <c r="K15" s="853"/>
      <c r="L15" s="832" t="s">
        <v>20</v>
      </c>
      <c r="M15" s="833"/>
      <c r="N15" s="833"/>
      <c r="O15" s="833"/>
      <c r="P15" s="833"/>
      <c r="Q15" s="834"/>
      <c r="R15" s="829" t="s">
        <v>21</v>
      </c>
      <c r="S15" s="829" t="s">
        <v>22</v>
      </c>
      <c r="T15" s="835" t="s">
        <v>23</v>
      </c>
      <c r="U15" s="838" t="s">
        <v>24</v>
      </c>
      <c r="V15" s="825" t="s">
        <v>194</v>
      </c>
      <c r="W15" s="825" t="s">
        <v>194</v>
      </c>
      <c r="X15" s="825" t="s">
        <v>195</v>
      </c>
      <c r="Y15" s="3"/>
    </row>
    <row r="16" spans="1:25">
      <c r="A16" s="843"/>
      <c r="B16" s="830"/>
      <c r="C16" s="846"/>
      <c r="D16" s="849"/>
      <c r="E16" s="849"/>
      <c r="F16" s="854"/>
      <c r="G16" s="855"/>
      <c r="H16" s="856"/>
      <c r="I16" s="854"/>
      <c r="J16" s="855"/>
      <c r="K16" s="856"/>
      <c r="L16" s="826" t="s">
        <v>27</v>
      </c>
      <c r="M16" s="829" t="s">
        <v>28</v>
      </c>
      <c r="N16" s="829" t="s">
        <v>29</v>
      </c>
      <c r="O16" s="829" t="s">
        <v>30</v>
      </c>
      <c r="P16" s="829" t="s">
        <v>21</v>
      </c>
      <c r="Q16" s="829" t="s">
        <v>31</v>
      </c>
      <c r="R16" s="830"/>
      <c r="S16" s="830"/>
      <c r="T16" s="836"/>
      <c r="U16" s="839"/>
      <c r="V16" s="825"/>
      <c r="W16" s="825"/>
      <c r="X16" s="825"/>
      <c r="Y16" s="3"/>
    </row>
    <row r="17" spans="1:25">
      <c r="A17" s="843"/>
      <c r="B17" s="830"/>
      <c r="C17" s="846"/>
      <c r="D17" s="849"/>
      <c r="E17" s="849"/>
      <c r="F17" s="854"/>
      <c r="G17" s="855"/>
      <c r="H17" s="856"/>
      <c r="I17" s="854"/>
      <c r="J17" s="855"/>
      <c r="K17" s="856"/>
      <c r="L17" s="827"/>
      <c r="M17" s="830"/>
      <c r="N17" s="830"/>
      <c r="O17" s="830"/>
      <c r="P17" s="830"/>
      <c r="Q17" s="830"/>
      <c r="R17" s="830"/>
      <c r="S17" s="830"/>
      <c r="T17" s="836"/>
      <c r="U17" s="839"/>
      <c r="V17" s="825"/>
      <c r="W17" s="825"/>
      <c r="X17" s="825"/>
      <c r="Y17" s="3"/>
    </row>
    <row r="18" spans="1:25">
      <c r="A18" s="843"/>
      <c r="B18" s="830"/>
      <c r="C18" s="846"/>
      <c r="D18" s="849"/>
      <c r="E18" s="849"/>
      <c r="F18" s="854"/>
      <c r="G18" s="855"/>
      <c r="H18" s="856"/>
      <c r="I18" s="854"/>
      <c r="J18" s="855"/>
      <c r="K18" s="856"/>
      <c r="L18" s="827"/>
      <c r="M18" s="830"/>
      <c r="N18" s="830"/>
      <c r="O18" s="830"/>
      <c r="P18" s="830"/>
      <c r="Q18" s="830"/>
      <c r="R18" s="830"/>
      <c r="S18" s="830"/>
      <c r="T18" s="836"/>
      <c r="U18" s="839"/>
      <c r="V18" s="825"/>
      <c r="W18" s="825"/>
      <c r="X18" s="825"/>
      <c r="Y18" s="3"/>
    </row>
    <row r="19" spans="1:25" ht="29.25" customHeight="1">
      <c r="A19" s="844"/>
      <c r="B19" s="831"/>
      <c r="C19" s="847"/>
      <c r="D19" s="850"/>
      <c r="E19" s="850"/>
      <c r="F19" s="857"/>
      <c r="G19" s="858"/>
      <c r="H19" s="859"/>
      <c r="I19" s="857"/>
      <c r="J19" s="858"/>
      <c r="K19" s="859"/>
      <c r="L19" s="828"/>
      <c r="M19" s="831"/>
      <c r="N19" s="831"/>
      <c r="O19" s="831"/>
      <c r="P19" s="831"/>
      <c r="Q19" s="831"/>
      <c r="R19" s="831"/>
      <c r="S19" s="831"/>
      <c r="T19" s="837"/>
      <c r="U19" s="840"/>
      <c r="V19" s="825"/>
      <c r="W19" s="825"/>
      <c r="X19" s="825"/>
      <c r="Y19" s="3"/>
    </row>
    <row r="20" spans="1:25">
      <c r="A20" s="446">
        <v>1</v>
      </c>
      <c r="B20" s="447">
        <v>2</v>
      </c>
      <c r="C20" s="394">
        <v>2</v>
      </c>
      <c r="D20" s="447">
        <v>3</v>
      </c>
      <c r="E20" s="394">
        <v>4</v>
      </c>
      <c r="F20" s="820">
        <v>6</v>
      </c>
      <c r="G20" s="821"/>
      <c r="H20" s="822"/>
      <c r="I20" s="820">
        <v>7</v>
      </c>
      <c r="J20" s="823"/>
      <c r="K20" s="824"/>
      <c r="L20" s="395">
        <v>8</v>
      </c>
      <c r="M20" s="394">
        <v>9</v>
      </c>
      <c r="N20" s="394">
        <v>10</v>
      </c>
      <c r="O20" s="394">
        <v>11</v>
      </c>
      <c r="P20" s="394">
        <v>12</v>
      </c>
      <c r="Q20" s="394">
        <v>13</v>
      </c>
      <c r="R20" s="448">
        <v>14</v>
      </c>
      <c r="S20" s="394">
        <v>15</v>
      </c>
      <c r="T20" s="394">
        <v>16</v>
      </c>
      <c r="U20" s="449">
        <v>17</v>
      </c>
      <c r="V20" s="397" t="s">
        <v>32</v>
      </c>
      <c r="W20" s="450" t="s">
        <v>33</v>
      </c>
      <c r="X20" s="451">
        <v>7</v>
      </c>
      <c r="Y20" s="5"/>
    </row>
    <row r="21" spans="1:25" hidden="1">
      <c r="A21" s="6"/>
      <c r="B21" s="4"/>
      <c r="C21" s="7" t="s">
        <v>34</v>
      </c>
      <c r="D21" s="4"/>
      <c r="E21" s="4"/>
      <c r="F21" s="4"/>
      <c r="G21" s="8"/>
      <c r="H21" s="8"/>
      <c r="I21" s="4"/>
      <c r="J21" s="4"/>
      <c r="K21" s="4"/>
      <c r="L21" s="9"/>
      <c r="M21" s="4"/>
      <c r="N21" s="4"/>
      <c r="O21" s="4"/>
      <c r="P21" s="4"/>
      <c r="Q21" s="4"/>
      <c r="R21" s="4"/>
      <c r="S21" s="4"/>
      <c r="T21" s="4"/>
      <c r="U21" s="10"/>
      <c r="V21" s="11">
        <f t="shared" ref="V21:V84" si="0">+$V$14*S21</f>
        <v>0</v>
      </c>
      <c r="W21" s="12">
        <f t="shared" ref="W21:W84" si="1">+V21*E21</f>
        <v>0</v>
      </c>
      <c r="X21" s="13"/>
      <c r="Y21" s="13"/>
    </row>
    <row r="22" spans="1:25" ht="24" customHeight="1">
      <c r="A22" s="662">
        <v>1</v>
      </c>
      <c r="B22" s="536" t="s">
        <v>35</v>
      </c>
      <c r="C22" s="741" t="s">
        <v>196</v>
      </c>
      <c r="D22" s="743" t="s">
        <v>197</v>
      </c>
      <c r="E22" s="532">
        <v>12.1</v>
      </c>
      <c r="F22" s="550">
        <f>0.001*8.13</f>
        <v>8.1300000000000018E-3</v>
      </c>
      <c r="G22" s="550"/>
      <c r="H22" s="550"/>
      <c r="I22" s="550">
        <f>0.001*172.87</f>
        <v>0.17287</v>
      </c>
      <c r="J22" s="550"/>
      <c r="K22" s="550"/>
      <c r="L22" s="14"/>
      <c r="M22" s="15"/>
      <c r="N22" s="16"/>
      <c r="O22" s="16"/>
      <c r="P22" s="17"/>
      <c r="Q22" s="18"/>
      <c r="R22" s="600">
        <f>F23+I23</f>
        <v>0.55711690710000006</v>
      </c>
      <c r="S22" s="600">
        <f>R22+R23</f>
        <v>0.55711690710000006</v>
      </c>
      <c r="T22" s="600">
        <f>E22*S22</f>
        <v>6.7411145759100002</v>
      </c>
      <c r="U22" s="739"/>
      <c r="V22" s="11">
        <f t="shared" si="0"/>
        <v>0.74274621785930961</v>
      </c>
      <c r="W22" s="12">
        <f t="shared" si="1"/>
        <v>8.9872292360976456</v>
      </c>
      <c r="X22" s="19"/>
      <c r="Y22" s="19"/>
    </row>
    <row r="23" spans="1:25" ht="24" hidden="1" customHeight="1">
      <c r="A23" s="663"/>
      <c r="B23" s="537"/>
      <c r="C23" s="742"/>
      <c r="D23" s="744"/>
      <c r="E23" s="533"/>
      <c r="F23" s="550">
        <f>F22*$J$13/1000</f>
        <v>1.9982157900000005E-2</v>
      </c>
      <c r="G23" s="550"/>
      <c r="H23" s="550"/>
      <c r="I23" s="550">
        <f>I22*$Q$13/1000</f>
        <v>0.53713474920000004</v>
      </c>
      <c r="J23" s="550"/>
      <c r="K23" s="550"/>
      <c r="L23" s="20"/>
      <c r="M23" s="21"/>
      <c r="N23" s="22"/>
      <c r="O23" s="22"/>
      <c r="P23" s="23"/>
      <c r="Q23" s="24"/>
      <c r="R23" s="601"/>
      <c r="S23" s="601"/>
      <c r="T23" s="601"/>
      <c r="U23" s="740"/>
      <c r="V23" s="11">
        <f t="shared" si="0"/>
        <v>0</v>
      </c>
      <c r="W23" s="12">
        <f t="shared" si="1"/>
        <v>0</v>
      </c>
      <c r="X23" s="19"/>
      <c r="Y23" s="19"/>
    </row>
    <row r="24" spans="1:25" ht="24" customHeight="1">
      <c r="A24" s="662">
        <f>+A22+1</f>
        <v>2</v>
      </c>
      <c r="B24" s="536" t="s">
        <v>38</v>
      </c>
      <c r="C24" s="741" t="s">
        <v>198</v>
      </c>
      <c r="D24" s="743" t="s">
        <v>197</v>
      </c>
      <c r="E24" s="532">
        <v>30.1</v>
      </c>
      <c r="F24" s="550">
        <f>0.001*10.6</f>
        <v>1.06E-2</v>
      </c>
      <c r="G24" s="550"/>
      <c r="H24" s="550"/>
      <c r="I24" s="550">
        <f>0.001*224.4</f>
        <v>0.22440000000000002</v>
      </c>
      <c r="J24" s="550"/>
      <c r="K24" s="550"/>
      <c r="L24" s="14"/>
      <c r="M24" s="25"/>
      <c r="N24" s="25"/>
      <c r="O24" s="25"/>
      <c r="P24" s="17"/>
      <c r="Q24" s="26"/>
      <c r="R24" s="600">
        <f>F25+I25</f>
        <v>0.72329970200000004</v>
      </c>
      <c r="S24" s="600">
        <f>R24+R25</f>
        <v>0.72329970200000004</v>
      </c>
      <c r="T24" s="600">
        <f>E24*S24</f>
        <v>21.771321030200003</v>
      </c>
      <c r="U24" s="739"/>
      <c r="V24" s="11">
        <f t="shared" si="0"/>
        <v>0.9643005107056204</v>
      </c>
      <c r="W24" s="12">
        <f t="shared" si="1"/>
        <v>29.025445372239176</v>
      </c>
      <c r="X24" s="27"/>
      <c r="Y24" s="27"/>
    </row>
    <row r="25" spans="1:25" ht="24" hidden="1" customHeight="1">
      <c r="A25" s="818"/>
      <c r="B25" s="537"/>
      <c r="C25" s="742"/>
      <c r="D25" s="744"/>
      <c r="E25" s="819"/>
      <c r="F25" s="550">
        <f>F24*$J$13/1000</f>
        <v>2.6052997999999997E-2</v>
      </c>
      <c r="G25" s="550"/>
      <c r="H25" s="550"/>
      <c r="I25" s="550">
        <f>I24*$Q$13/1000</f>
        <v>0.69724670399999999</v>
      </c>
      <c r="J25" s="550"/>
      <c r="K25" s="550"/>
      <c r="L25" s="20"/>
      <c r="M25" s="28"/>
      <c r="N25" s="28"/>
      <c r="O25" s="28"/>
      <c r="P25" s="23"/>
      <c r="Q25" s="29"/>
      <c r="R25" s="817"/>
      <c r="S25" s="601"/>
      <c r="T25" s="601"/>
      <c r="U25" s="740"/>
      <c r="V25" s="11">
        <f t="shared" si="0"/>
        <v>0</v>
      </c>
      <c r="W25" s="12">
        <f t="shared" si="1"/>
        <v>0</v>
      </c>
      <c r="X25" s="27"/>
      <c r="Y25" s="27"/>
    </row>
    <row r="26" spans="1:25" ht="24" customHeight="1">
      <c r="A26" s="662">
        <f>+A24+1</f>
        <v>3</v>
      </c>
      <c r="B26" s="536" t="s">
        <v>40</v>
      </c>
      <c r="C26" s="741" t="s">
        <v>199</v>
      </c>
      <c r="D26" s="743" t="s">
        <v>197</v>
      </c>
      <c r="E26" s="532">
        <v>16.100000000000001</v>
      </c>
      <c r="F26" s="550">
        <f>0.001*14.3</f>
        <v>1.43E-2</v>
      </c>
      <c r="G26" s="550"/>
      <c r="H26" s="550"/>
      <c r="I26" s="550">
        <f>0.001*302.7</f>
        <v>0.30269999999999997</v>
      </c>
      <c r="J26" s="550"/>
      <c r="K26" s="550"/>
      <c r="L26" s="14"/>
      <c r="M26" s="25"/>
      <c r="N26" s="25"/>
      <c r="O26" s="25"/>
      <c r="P26" s="17"/>
      <c r="Q26" s="26"/>
      <c r="R26" s="600">
        <f>F27+I27</f>
        <v>0.97568430099999992</v>
      </c>
      <c r="S26" s="600">
        <f>R26+R27</f>
        <v>0.97568430099999992</v>
      </c>
      <c r="T26" s="600">
        <f>E26*S26</f>
        <v>15.7085172461</v>
      </c>
      <c r="U26" s="739"/>
      <c r="V26" s="11">
        <f t="shared" si="0"/>
        <v>1.3007787327164642</v>
      </c>
      <c r="W26" s="12">
        <f t="shared" si="1"/>
        <v>20.942537596735075</v>
      </c>
      <c r="X26" s="27"/>
      <c r="Y26" s="27"/>
    </row>
    <row r="27" spans="1:25" ht="24" hidden="1" customHeight="1">
      <c r="A27" s="818"/>
      <c r="B27" s="537"/>
      <c r="C27" s="742"/>
      <c r="D27" s="744"/>
      <c r="E27" s="819"/>
      <c r="F27" s="550">
        <f>F26*$J$13/1000</f>
        <v>3.5146969E-2</v>
      </c>
      <c r="G27" s="550"/>
      <c r="H27" s="550"/>
      <c r="I27" s="550">
        <f>I26*$Q$13/1000</f>
        <v>0.94053733199999989</v>
      </c>
      <c r="J27" s="550"/>
      <c r="K27" s="550"/>
      <c r="L27" s="20"/>
      <c r="M27" s="28"/>
      <c r="N27" s="28"/>
      <c r="O27" s="28"/>
      <c r="P27" s="23"/>
      <c r="Q27" s="29"/>
      <c r="R27" s="817"/>
      <c r="S27" s="601"/>
      <c r="T27" s="601"/>
      <c r="U27" s="740"/>
      <c r="V27" s="11">
        <f t="shared" si="0"/>
        <v>0</v>
      </c>
      <c r="W27" s="12">
        <f t="shared" si="1"/>
        <v>0</v>
      </c>
      <c r="X27" s="27"/>
      <c r="Y27" s="27"/>
    </row>
    <row r="28" spans="1:25" ht="24" customHeight="1">
      <c r="A28" s="662">
        <f>+A26+1</f>
        <v>4</v>
      </c>
      <c r="B28" s="536" t="s">
        <v>42</v>
      </c>
      <c r="C28" s="741" t="s">
        <v>200</v>
      </c>
      <c r="D28" s="743" t="s">
        <v>197</v>
      </c>
      <c r="E28" s="532">
        <v>2</v>
      </c>
      <c r="F28" s="550">
        <f>0.01*327</f>
        <v>3.27</v>
      </c>
      <c r="G28" s="550"/>
      <c r="H28" s="550"/>
      <c r="I28" s="550">
        <f>0.01*381</f>
        <v>3.81</v>
      </c>
      <c r="J28" s="550"/>
      <c r="K28" s="550"/>
      <c r="L28" s="14"/>
      <c r="M28" s="25"/>
      <c r="N28" s="25"/>
      <c r="O28" s="25"/>
      <c r="P28" s="17"/>
      <c r="Q28" s="26"/>
      <c r="R28" s="600">
        <f>F29+I29</f>
        <v>19.8753837</v>
      </c>
      <c r="S28" s="600">
        <f>R28+R29</f>
        <v>19.8753837</v>
      </c>
      <c r="T28" s="600">
        <f>E28*S28</f>
        <v>39.750767400000001</v>
      </c>
      <c r="U28" s="739"/>
      <c r="V28" s="11">
        <f t="shared" si="0"/>
        <v>26.497788675129527</v>
      </c>
      <c r="W28" s="12">
        <f t="shared" si="1"/>
        <v>52.995577350259055</v>
      </c>
      <c r="X28" s="27"/>
      <c r="Y28" s="27"/>
    </row>
    <row r="29" spans="1:25" ht="24" hidden="1" customHeight="1">
      <c r="A29" s="818"/>
      <c r="B29" s="537"/>
      <c r="C29" s="742"/>
      <c r="D29" s="744"/>
      <c r="E29" s="533"/>
      <c r="F29" s="550">
        <f>F28*$J$13/1000</f>
        <v>8.0371040999999988</v>
      </c>
      <c r="G29" s="550"/>
      <c r="H29" s="550"/>
      <c r="I29" s="550">
        <f>I28*$Q$13/1000</f>
        <v>11.8382796</v>
      </c>
      <c r="J29" s="550"/>
      <c r="K29" s="550"/>
      <c r="L29" s="20"/>
      <c r="M29" s="28"/>
      <c r="N29" s="28"/>
      <c r="O29" s="28"/>
      <c r="P29" s="23"/>
      <c r="Q29" s="29"/>
      <c r="R29" s="817"/>
      <c r="S29" s="601"/>
      <c r="T29" s="601"/>
      <c r="U29" s="740"/>
      <c r="V29" s="11">
        <f t="shared" si="0"/>
        <v>0</v>
      </c>
      <c r="W29" s="12">
        <f t="shared" si="1"/>
        <v>0</v>
      </c>
      <c r="X29" s="27"/>
      <c r="Y29" s="27"/>
    </row>
    <row r="30" spans="1:25" ht="24" customHeight="1">
      <c r="A30" s="662">
        <f t="shared" ref="A30" si="2">+A28+1</f>
        <v>5</v>
      </c>
      <c r="B30" s="536" t="s">
        <v>44</v>
      </c>
      <c r="C30" s="534" t="s">
        <v>201</v>
      </c>
      <c r="D30" s="532" t="s">
        <v>197</v>
      </c>
      <c r="E30" s="745">
        <v>24</v>
      </c>
      <c r="F30" s="816">
        <f>0.001*6.53</f>
        <v>6.5300000000000002E-3</v>
      </c>
      <c r="G30" s="816"/>
      <c r="H30" s="816"/>
      <c r="I30" s="813">
        <f>0.001*138.47</f>
        <v>0.13847000000000001</v>
      </c>
      <c r="J30" s="813"/>
      <c r="K30" s="813"/>
      <c r="L30" s="30"/>
      <c r="M30" s="31"/>
      <c r="N30" s="32"/>
      <c r="O30" s="32"/>
      <c r="P30" s="32"/>
      <c r="Q30" s="33"/>
      <c r="R30" s="34">
        <f>F31+I31</f>
        <v>0.44629807509999997</v>
      </c>
      <c r="S30" s="600">
        <f>R30+R31</f>
        <v>2.8024980751000004</v>
      </c>
      <c r="T30" s="600">
        <f>E30*S30</f>
        <v>67.259953802400005</v>
      </c>
      <c r="U30" s="814">
        <f>E30*Q31</f>
        <v>56.548800000000007</v>
      </c>
      <c r="V30" s="11">
        <f t="shared" si="0"/>
        <v>3.7362801582772507</v>
      </c>
      <c r="W30" s="12">
        <f t="shared" si="1"/>
        <v>89.670723798654024</v>
      </c>
      <c r="X30" s="19"/>
      <c r="Y30" s="19"/>
    </row>
    <row r="31" spans="1:25" ht="24" hidden="1" customHeight="1">
      <c r="A31" s="663"/>
      <c r="B31" s="537"/>
      <c r="C31" s="535"/>
      <c r="D31" s="533"/>
      <c r="E31" s="746"/>
      <c r="F31" s="550">
        <f>F30*$J$13/1000</f>
        <v>1.6049629900000001E-2</v>
      </c>
      <c r="G31" s="550"/>
      <c r="H31" s="550"/>
      <c r="I31" s="550">
        <f>I30*$Q$13/1000</f>
        <v>0.4302484452</v>
      </c>
      <c r="J31" s="550"/>
      <c r="K31" s="550"/>
      <c r="L31" s="35" t="s">
        <v>46</v>
      </c>
      <c r="M31" s="36" t="s">
        <v>37</v>
      </c>
      <c r="N31" s="37">
        <v>1.1000000000000001</v>
      </c>
      <c r="O31" s="38">
        <f>E30*N31</f>
        <v>26.400000000000002</v>
      </c>
      <c r="P31" s="39">
        <v>2</v>
      </c>
      <c r="Q31" s="40">
        <f>N31*P31*1.02*1.05</f>
        <v>2.3562000000000003</v>
      </c>
      <c r="R31" s="41">
        <f>SUM(Q31:Q31)</f>
        <v>2.3562000000000003</v>
      </c>
      <c r="S31" s="601"/>
      <c r="T31" s="601"/>
      <c r="U31" s="815"/>
      <c r="V31" s="11">
        <f t="shared" si="0"/>
        <v>0</v>
      </c>
      <c r="W31" s="12">
        <f t="shared" si="1"/>
        <v>0</v>
      </c>
      <c r="X31" s="19"/>
      <c r="Y31" s="19"/>
    </row>
    <row r="32" spans="1:25" ht="24" customHeight="1">
      <c r="A32" s="662">
        <f t="shared" ref="A32" si="3">+A30+1</f>
        <v>6</v>
      </c>
      <c r="B32" s="536" t="s">
        <v>47</v>
      </c>
      <c r="C32" s="534" t="s">
        <v>202</v>
      </c>
      <c r="D32" s="532" t="s">
        <v>203</v>
      </c>
      <c r="E32" s="532">
        <f>+E30*1.6</f>
        <v>38.400000000000006</v>
      </c>
      <c r="F32" s="803"/>
      <c r="G32" s="804"/>
      <c r="H32" s="805"/>
      <c r="I32" s="604">
        <v>0.39</v>
      </c>
      <c r="J32" s="605"/>
      <c r="K32" s="606"/>
      <c r="L32" s="42"/>
      <c r="M32" s="43"/>
      <c r="N32" s="44"/>
      <c r="O32" s="44"/>
      <c r="P32" s="17"/>
      <c r="Q32" s="45"/>
      <c r="R32" s="600">
        <f>+F33+I33</f>
        <v>1.2117924</v>
      </c>
      <c r="S32" s="600">
        <f>R32+R33</f>
        <v>1.2117924</v>
      </c>
      <c r="T32" s="600">
        <f>E32:E33*S32</f>
        <v>46.532828160000008</v>
      </c>
      <c r="U32" s="794"/>
      <c r="V32" s="11">
        <f t="shared" si="0"/>
        <v>1.6155571846055998</v>
      </c>
      <c r="W32" s="12">
        <f t="shared" si="1"/>
        <v>62.037395888855045</v>
      </c>
      <c r="X32" s="27"/>
      <c r="Y32" s="27"/>
    </row>
    <row r="33" spans="1:25" ht="24" hidden="1" customHeight="1">
      <c r="A33" s="663"/>
      <c r="B33" s="537"/>
      <c r="C33" s="535"/>
      <c r="D33" s="533"/>
      <c r="E33" s="533"/>
      <c r="F33" s="796"/>
      <c r="G33" s="797"/>
      <c r="H33" s="798"/>
      <c r="I33" s="550">
        <f>I32*$Q$13/1000</f>
        <v>1.2117924</v>
      </c>
      <c r="J33" s="550"/>
      <c r="K33" s="550"/>
      <c r="L33" s="20"/>
      <c r="M33" s="21"/>
      <c r="N33" s="22"/>
      <c r="O33" s="22"/>
      <c r="P33" s="23"/>
      <c r="Q33" s="46"/>
      <c r="R33" s="601"/>
      <c r="S33" s="601"/>
      <c r="T33" s="601"/>
      <c r="U33" s="795"/>
      <c r="V33" s="11">
        <f t="shared" si="0"/>
        <v>0</v>
      </c>
      <c r="W33" s="12">
        <f t="shared" si="1"/>
        <v>0</v>
      </c>
      <c r="X33" s="27"/>
      <c r="Y33" s="27"/>
    </row>
    <row r="34" spans="1:25" ht="24" customHeight="1">
      <c r="A34" s="662">
        <f>+A32+1</f>
        <v>7</v>
      </c>
      <c r="B34" s="536" t="s">
        <v>50</v>
      </c>
      <c r="C34" s="799" t="s">
        <v>204</v>
      </c>
      <c r="D34" s="743" t="s">
        <v>197</v>
      </c>
      <c r="E34" s="532">
        <v>35.5</v>
      </c>
      <c r="F34" s="548"/>
      <c r="G34" s="548"/>
      <c r="H34" s="548"/>
      <c r="I34" s="550">
        <f>0.001*25</f>
        <v>2.5000000000000001E-2</v>
      </c>
      <c r="J34" s="550"/>
      <c r="K34" s="550"/>
      <c r="L34" s="42"/>
      <c r="M34" s="43"/>
      <c r="N34" s="44"/>
      <c r="O34" s="44"/>
      <c r="P34" s="47"/>
      <c r="Q34" s="48"/>
      <c r="R34" s="600">
        <f>F35+I35</f>
        <v>7.7678999999999998E-2</v>
      </c>
      <c r="S34" s="600">
        <f>R34+R35</f>
        <v>7.7678999999999998E-2</v>
      </c>
      <c r="T34" s="600">
        <f>E34*S34</f>
        <v>2.7576044999999998</v>
      </c>
      <c r="U34" s="794"/>
      <c r="V34" s="11">
        <f t="shared" si="0"/>
        <v>0.10356135798753845</v>
      </c>
      <c r="W34" s="12">
        <f t="shared" si="1"/>
        <v>3.6764282085576148</v>
      </c>
      <c r="X34" s="27"/>
      <c r="Y34" s="27"/>
    </row>
    <row r="35" spans="1:25" ht="24" hidden="1" customHeight="1">
      <c r="A35" s="663"/>
      <c r="B35" s="537"/>
      <c r="C35" s="800"/>
      <c r="D35" s="744"/>
      <c r="E35" s="533"/>
      <c r="F35" s="548"/>
      <c r="G35" s="548"/>
      <c r="H35" s="548"/>
      <c r="I35" s="550">
        <f>I34*$Q$13/1000</f>
        <v>7.7678999999999998E-2</v>
      </c>
      <c r="J35" s="550"/>
      <c r="K35" s="550"/>
      <c r="L35" s="20"/>
      <c r="M35" s="21"/>
      <c r="N35" s="22"/>
      <c r="O35" s="22"/>
      <c r="P35" s="23"/>
      <c r="Q35" s="24"/>
      <c r="R35" s="601"/>
      <c r="S35" s="601"/>
      <c r="T35" s="601"/>
      <c r="U35" s="795"/>
      <c r="V35" s="11">
        <f t="shared" si="0"/>
        <v>0</v>
      </c>
      <c r="W35" s="12">
        <f t="shared" si="1"/>
        <v>0</v>
      </c>
      <c r="X35" s="27"/>
      <c r="Y35" s="27"/>
    </row>
    <row r="36" spans="1:25" ht="24" customHeight="1">
      <c r="A36" s="662">
        <f>+A34+1</f>
        <v>8</v>
      </c>
      <c r="B36" s="536" t="s">
        <v>52</v>
      </c>
      <c r="C36" s="534" t="s">
        <v>205</v>
      </c>
      <c r="D36" s="809" t="s">
        <v>206</v>
      </c>
      <c r="E36" s="811">
        <v>24.8</v>
      </c>
      <c r="F36" s="604">
        <f>0.001*9.86</f>
        <v>9.859999999999999E-3</v>
      </c>
      <c r="G36" s="605"/>
      <c r="H36" s="606"/>
      <c r="I36" s="604">
        <f>0.001*210.8</f>
        <v>0.21080000000000002</v>
      </c>
      <c r="J36" s="605"/>
      <c r="K36" s="606"/>
      <c r="L36" s="42"/>
      <c r="M36" s="43"/>
      <c r="N36" s="44"/>
      <c r="O36" s="44"/>
      <c r="P36" s="47"/>
      <c r="Q36" s="48"/>
      <c r="R36" s="600">
        <f>F37+I37</f>
        <v>0.67922353179999995</v>
      </c>
      <c r="S36" s="600">
        <f>R36+R37</f>
        <v>0.67922353179999995</v>
      </c>
      <c r="T36" s="600">
        <f>E36*S36</f>
        <v>16.84474358864</v>
      </c>
      <c r="U36" s="739">
        <f>E36*Q37</f>
        <v>0</v>
      </c>
      <c r="V36" s="11">
        <f t="shared" si="0"/>
        <v>0.90553832220162467</v>
      </c>
      <c r="W36" s="12">
        <f t="shared" si="1"/>
        <v>22.457350390600293</v>
      </c>
      <c r="X36" s="49"/>
      <c r="Y36" s="50"/>
    </row>
    <row r="37" spans="1:25" ht="24" hidden="1" customHeight="1">
      <c r="A37" s="663"/>
      <c r="B37" s="537"/>
      <c r="C37" s="535"/>
      <c r="D37" s="810"/>
      <c r="E37" s="812"/>
      <c r="F37" s="806">
        <f>F36*$J$13/1000</f>
        <v>2.4234203799999996E-2</v>
      </c>
      <c r="G37" s="807"/>
      <c r="H37" s="808"/>
      <c r="I37" s="604">
        <f>I36*$Q$13/1000</f>
        <v>0.65498932799999998</v>
      </c>
      <c r="J37" s="605"/>
      <c r="K37" s="606"/>
      <c r="L37" s="20"/>
      <c r="M37" s="21"/>
      <c r="N37" s="22"/>
      <c r="O37" s="22"/>
      <c r="P37" s="23"/>
      <c r="Q37" s="24"/>
      <c r="R37" s="601"/>
      <c r="S37" s="601"/>
      <c r="T37" s="601"/>
      <c r="U37" s="740"/>
      <c r="V37" s="11">
        <f t="shared" si="0"/>
        <v>0</v>
      </c>
      <c r="W37" s="12">
        <f t="shared" si="1"/>
        <v>0</v>
      </c>
      <c r="X37" s="49"/>
      <c r="Y37" s="50"/>
    </row>
    <row r="38" spans="1:25" ht="24" customHeight="1">
      <c r="A38" s="662">
        <f t="shared" ref="A38" si="4">+A36+1</f>
        <v>9</v>
      </c>
      <c r="B38" s="536" t="s">
        <v>47</v>
      </c>
      <c r="C38" s="799" t="s">
        <v>207</v>
      </c>
      <c r="D38" s="532" t="s">
        <v>203</v>
      </c>
      <c r="E38" s="801">
        <v>67</v>
      </c>
      <c r="F38" s="803"/>
      <c r="G38" s="804"/>
      <c r="H38" s="805"/>
      <c r="I38" s="604">
        <v>0.39</v>
      </c>
      <c r="J38" s="605"/>
      <c r="K38" s="606"/>
      <c r="L38" s="42"/>
      <c r="M38" s="43"/>
      <c r="N38" s="44"/>
      <c r="O38" s="44"/>
      <c r="P38" s="17"/>
      <c r="Q38" s="45"/>
      <c r="R38" s="600">
        <f>+F39+I39</f>
        <v>1.2117924</v>
      </c>
      <c r="S38" s="600">
        <f>R38+R39</f>
        <v>1.2117924</v>
      </c>
      <c r="T38" s="600">
        <f>E38:E39*S38</f>
        <v>81.190090799999993</v>
      </c>
      <c r="U38" s="794"/>
      <c r="V38" s="11">
        <f t="shared" si="0"/>
        <v>1.6155571846055998</v>
      </c>
      <c r="W38" s="12">
        <f t="shared" si="1"/>
        <v>108.24233136857519</v>
      </c>
      <c r="X38" s="27"/>
      <c r="Y38" s="52"/>
    </row>
    <row r="39" spans="1:25" ht="24" hidden="1" customHeight="1">
      <c r="A39" s="663"/>
      <c r="B39" s="537"/>
      <c r="C39" s="800"/>
      <c r="D39" s="533"/>
      <c r="E39" s="802"/>
      <c r="F39" s="796"/>
      <c r="G39" s="797"/>
      <c r="H39" s="798"/>
      <c r="I39" s="550">
        <f>I38*$Q$13/1000</f>
        <v>1.2117924</v>
      </c>
      <c r="J39" s="550"/>
      <c r="K39" s="550"/>
      <c r="L39" s="20"/>
      <c r="M39" s="21"/>
      <c r="N39" s="22"/>
      <c r="O39" s="22"/>
      <c r="P39" s="23"/>
      <c r="Q39" s="46"/>
      <c r="R39" s="601"/>
      <c r="S39" s="601"/>
      <c r="T39" s="601"/>
      <c r="U39" s="795"/>
      <c r="V39" s="11">
        <f t="shared" si="0"/>
        <v>0</v>
      </c>
      <c r="W39" s="12">
        <f t="shared" si="1"/>
        <v>0</v>
      </c>
      <c r="X39" s="27"/>
      <c r="Y39" s="52"/>
    </row>
    <row r="40" spans="1:25" ht="24" customHeight="1">
      <c r="A40" s="643">
        <f>+A38+1</f>
        <v>10</v>
      </c>
      <c r="B40" s="645" t="s">
        <v>55</v>
      </c>
      <c r="C40" s="647" t="s">
        <v>208</v>
      </c>
      <c r="D40" s="649" t="s">
        <v>209</v>
      </c>
      <c r="E40" s="690">
        <v>29</v>
      </c>
      <c r="F40" s="633">
        <v>0.27</v>
      </c>
      <c r="G40" s="634"/>
      <c r="H40" s="635"/>
      <c r="I40" s="633">
        <v>0.17</v>
      </c>
      <c r="J40" s="634"/>
      <c r="K40" s="635"/>
      <c r="L40" s="53"/>
      <c r="M40" s="54"/>
      <c r="N40" s="55"/>
      <c r="O40" s="55"/>
      <c r="P40" s="56"/>
      <c r="Q40" s="57"/>
      <c r="R40" s="58">
        <f>F41+I41</f>
        <v>1.1918313</v>
      </c>
      <c r="S40" s="636">
        <f>R40+R41</f>
        <v>4.6176604200000009</v>
      </c>
      <c r="T40" s="636">
        <f>E40*S40</f>
        <v>133.91215218000002</v>
      </c>
      <c r="U40" s="730">
        <f>E40*R41</f>
        <v>99.349044480000018</v>
      </c>
      <c r="V40" s="11">
        <f t="shared" si="0"/>
        <v>6.1562479411489237</v>
      </c>
      <c r="W40" s="12">
        <f t="shared" si="1"/>
        <v>178.53119029331879</v>
      </c>
      <c r="X40" s="59"/>
      <c r="Y40" s="60"/>
    </row>
    <row r="41" spans="1:25" ht="24" hidden="1" customHeight="1">
      <c r="A41" s="644"/>
      <c r="B41" s="646"/>
      <c r="C41" s="648"/>
      <c r="D41" s="650"/>
      <c r="E41" s="692"/>
      <c r="F41" s="633">
        <f>F40*$J$13/1000</f>
        <v>0.66361409999999998</v>
      </c>
      <c r="G41" s="634"/>
      <c r="H41" s="635"/>
      <c r="I41" s="633">
        <f>I40*$Q$13/1000</f>
        <v>0.52821720000000005</v>
      </c>
      <c r="J41" s="634"/>
      <c r="K41" s="635"/>
      <c r="L41" s="62" t="s">
        <v>57</v>
      </c>
      <c r="M41" s="63" t="s">
        <v>56</v>
      </c>
      <c r="N41" s="64">
        <v>1</v>
      </c>
      <c r="O41" s="65">
        <f>E40*N41</f>
        <v>29</v>
      </c>
      <c r="P41" s="66">
        <v>2.94</v>
      </c>
      <c r="Q41" s="67">
        <f>N41*P41*$N$11</f>
        <v>3.4258291200000008</v>
      </c>
      <c r="R41" s="68">
        <f>SUM(Q41:Q41)</f>
        <v>3.4258291200000008</v>
      </c>
      <c r="S41" s="637"/>
      <c r="T41" s="637"/>
      <c r="U41" s="732"/>
      <c r="V41" s="11">
        <f t="shared" si="0"/>
        <v>0</v>
      </c>
      <c r="W41" s="12">
        <f t="shared" si="1"/>
        <v>0</v>
      </c>
      <c r="X41" s="59"/>
      <c r="Y41" s="61"/>
    </row>
    <row r="42" spans="1:25" ht="31.5" customHeight="1">
      <c r="A42" s="643">
        <f>+A40+1</f>
        <v>11</v>
      </c>
      <c r="B42" s="645" t="s">
        <v>58</v>
      </c>
      <c r="C42" s="647" t="s">
        <v>210</v>
      </c>
      <c r="D42" s="649" t="s">
        <v>209</v>
      </c>
      <c r="E42" s="690">
        <f>+E40</f>
        <v>29</v>
      </c>
      <c r="F42" s="656">
        <v>0.06</v>
      </c>
      <c r="G42" s="657"/>
      <c r="H42" s="658"/>
      <c r="I42" s="656">
        <v>0.05</v>
      </c>
      <c r="J42" s="657"/>
      <c r="K42" s="658"/>
      <c r="L42" s="69"/>
      <c r="M42" s="54"/>
      <c r="N42" s="70"/>
      <c r="O42" s="55"/>
      <c r="P42" s="71"/>
      <c r="Q42" s="72"/>
      <c r="R42" s="58">
        <f>F43+I43</f>
        <v>0.30282779999999998</v>
      </c>
      <c r="S42" s="636">
        <f>R42+R43</f>
        <v>4.8846878083200025</v>
      </c>
      <c r="T42" s="636">
        <f>E42*S42</f>
        <v>141.65594644128007</v>
      </c>
      <c r="U42" s="730">
        <f>E42*R43</f>
        <v>132.87394024128005</v>
      </c>
      <c r="V42" s="11">
        <f t="shared" si="0"/>
        <v>6.5122478761929532</v>
      </c>
      <c r="W42" s="12">
        <f t="shared" si="1"/>
        <v>188.85518840959566</v>
      </c>
      <c r="X42" s="61"/>
      <c r="Y42" s="59"/>
    </row>
    <row r="43" spans="1:25" ht="24" hidden="1" customHeight="1">
      <c r="A43" s="686"/>
      <c r="B43" s="687"/>
      <c r="C43" s="790"/>
      <c r="D43" s="753"/>
      <c r="E43" s="691"/>
      <c r="F43" s="680">
        <f>F42*$J$13/1000</f>
        <v>0.14746979999999998</v>
      </c>
      <c r="G43" s="681"/>
      <c r="H43" s="682"/>
      <c r="I43" s="680">
        <f>I42*$Q$13/1000</f>
        <v>0.155358</v>
      </c>
      <c r="J43" s="681"/>
      <c r="K43" s="682"/>
      <c r="L43" s="73" t="s">
        <v>60</v>
      </c>
      <c r="M43" s="74" t="s">
        <v>61</v>
      </c>
      <c r="N43" s="75">
        <v>1.1779999999999999</v>
      </c>
      <c r="O43" s="76">
        <f>E42*N43</f>
        <v>34.161999999999999</v>
      </c>
      <c r="P43" s="77">
        <f>2.124/1.2</f>
        <v>1.7700000000000002</v>
      </c>
      <c r="Q43" s="78">
        <f>N43*P43*$N$11</f>
        <v>2.429611994880001</v>
      </c>
      <c r="R43" s="636">
        <f>SUM(Q43:Q45)</f>
        <v>4.5818600083200023</v>
      </c>
      <c r="S43" s="678"/>
      <c r="T43" s="678"/>
      <c r="U43" s="731"/>
      <c r="V43" s="11">
        <f t="shared" si="0"/>
        <v>0</v>
      </c>
      <c r="W43" s="12">
        <f t="shared" si="1"/>
        <v>0</v>
      </c>
      <c r="X43" s="61"/>
      <c r="Y43" s="59"/>
    </row>
    <row r="44" spans="1:25" ht="24" hidden="1" customHeight="1">
      <c r="A44" s="686"/>
      <c r="B44" s="687"/>
      <c r="C44" s="790"/>
      <c r="D44" s="753"/>
      <c r="E44" s="691"/>
      <c r="F44" s="683"/>
      <c r="G44" s="684"/>
      <c r="H44" s="685"/>
      <c r="I44" s="683"/>
      <c r="J44" s="684"/>
      <c r="K44" s="685"/>
      <c r="L44" s="79" t="s">
        <v>62</v>
      </c>
      <c r="M44" s="80" t="s">
        <v>61</v>
      </c>
      <c r="N44" s="81">
        <v>0.755</v>
      </c>
      <c r="O44" s="82">
        <f>E42*N44</f>
        <v>21.895</v>
      </c>
      <c r="P44" s="83">
        <f>2.844/1.2</f>
        <v>2.37</v>
      </c>
      <c r="Q44" s="84">
        <f>N44*P44*$N$11</f>
        <v>2.0850365088000005</v>
      </c>
      <c r="R44" s="678"/>
      <c r="S44" s="678"/>
      <c r="T44" s="678"/>
      <c r="U44" s="731"/>
      <c r="V44" s="11">
        <f t="shared" si="0"/>
        <v>0</v>
      </c>
      <c r="W44" s="12">
        <f t="shared" si="1"/>
        <v>0</v>
      </c>
      <c r="X44" s="61"/>
      <c r="Y44" s="61"/>
    </row>
    <row r="45" spans="1:25" ht="24" hidden="1" customHeight="1">
      <c r="A45" s="644"/>
      <c r="B45" s="646"/>
      <c r="C45" s="648"/>
      <c r="D45" s="650"/>
      <c r="E45" s="692"/>
      <c r="F45" s="674"/>
      <c r="G45" s="675"/>
      <c r="H45" s="676"/>
      <c r="I45" s="674"/>
      <c r="J45" s="675"/>
      <c r="K45" s="676"/>
      <c r="L45" s="85" t="s">
        <v>63</v>
      </c>
      <c r="M45" s="86" t="s">
        <v>61</v>
      </c>
      <c r="N45" s="87">
        <v>5.6000000000000001E-2</v>
      </c>
      <c r="O45" s="88">
        <f>E42*N45</f>
        <v>1.6240000000000001</v>
      </c>
      <c r="P45" s="89">
        <f>1.236/1.2</f>
        <v>1.03</v>
      </c>
      <c r="Q45" s="90">
        <f>N45*P45*$N$11</f>
        <v>6.7211504640000017E-2</v>
      </c>
      <c r="R45" s="637"/>
      <c r="S45" s="637"/>
      <c r="T45" s="637"/>
      <c r="U45" s="732"/>
      <c r="V45" s="11">
        <f t="shared" si="0"/>
        <v>0</v>
      </c>
      <c r="W45" s="12">
        <f t="shared" si="1"/>
        <v>0</v>
      </c>
      <c r="X45" s="61"/>
      <c r="Y45" s="61"/>
    </row>
    <row r="46" spans="1:25" ht="24" customHeight="1">
      <c r="A46" s="643">
        <f>+A42+1</f>
        <v>12</v>
      </c>
      <c r="B46" s="645" t="s">
        <v>64</v>
      </c>
      <c r="C46" s="647" t="s">
        <v>211</v>
      </c>
      <c r="D46" s="649" t="s">
        <v>209</v>
      </c>
      <c r="E46" s="690">
        <v>57</v>
      </c>
      <c r="F46" s="633">
        <v>0.28000000000000003</v>
      </c>
      <c r="G46" s="634"/>
      <c r="H46" s="635"/>
      <c r="I46" s="633">
        <v>0.18</v>
      </c>
      <c r="J46" s="634"/>
      <c r="K46" s="635"/>
      <c r="L46" s="53"/>
      <c r="M46" s="54"/>
      <c r="N46" s="55"/>
      <c r="O46" s="55"/>
      <c r="P46" s="56"/>
      <c r="Q46" s="57"/>
      <c r="R46" s="58">
        <f>F47+I47</f>
        <v>1.2474812</v>
      </c>
      <c r="S46" s="636">
        <f>R46+R47</f>
        <v>5.4074165600000006</v>
      </c>
      <c r="T46" s="636">
        <f>E46*S46</f>
        <v>308.22274392000003</v>
      </c>
      <c r="U46" s="730">
        <f>E46*R47</f>
        <v>237.11631552000003</v>
      </c>
      <c r="V46" s="11">
        <f t="shared" si="0"/>
        <v>7.2091479313315538</v>
      </c>
      <c r="W46" s="12">
        <f t="shared" si="1"/>
        <v>410.92143208589857</v>
      </c>
      <c r="X46" s="59"/>
      <c r="Y46" s="60"/>
    </row>
    <row r="47" spans="1:25" ht="24" hidden="1" customHeight="1">
      <c r="A47" s="644"/>
      <c r="B47" s="646"/>
      <c r="C47" s="648"/>
      <c r="D47" s="650"/>
      <c r="E47" s="692"/>
      <c r="F47" s="633">
        <f>F46*$J$13/1000</f>
        <v>0.68819240000000004</v>
      </c>
      <c r="G47" s="634"/>
      <c r="H47" s="635"/>
      <c r="I47" s="633">
        <f>I46*$Q$13/1000</f>
        <v>0.55928879999999992</v>
      </c>
      <c r="J47" s="634"/>
      <c r="K47" s="635"/>
      <c r="L47" s="62" t="s">
        <v>65</v>
      </c>
      <c r="M47" s="63" t="s">
        <v>56</v>
      </c>
      <c r="N47" s="64">
        <v>1</v>
      </c>
      <c r="O47" s="65">
        <f>E46*N47</f>
        <v>57</v>
      </c>
      <c r="P47" s="66">
        <v>3.57</v>
      </c>
      <c r="Q47" s="67">
        <f>N47*P47*$N$11</f>
        <v>4.1599353600000004</v>
      </c>
      <c r="R47" s="68">
        <f>SUM(Q47:Q47)</f>
        <v>4.1599353600000004</v>
      </c>
      <c r="S47" s="637"/>
      <c r="T47" s="637"/>
      <c r="U47" s="732"/>
      <c r="V47" s="11">
        <f t="shared" si="0"/>
        <v>0</v>
      </c>
      <c r="W47" s="12">
        <f t="shared" si="1"/>
        <v>0</v>
      </c>
      <c r="X47" s="59"/>
      <c r="Y47" s="61"/>
    </row>
    <row r="48" spans="1:25" ht="29.25" customHeight="1">
      <c r="A48" s="643">
        <f>+A46+1</f>
        <v>13</v>
      </c>
      <c r="B48" s="645" t="s">
        <v>66</v>
      </c>
      <c r="C48" s="647" t="s">
        <v>212</v>
      </c>
      <c r="D48" s="649" t="s">
        <v>209</v>
      </c>
      <c r="E48" s="690">
        <f>+E46</f>
        <v>57</v>
      </c>
      <c r="F48" s="656">
        <v>0.06</v>
      </c>
      <c r="G48" s="657"/>
      <c r="H48" s="658"/>
      <c r="I48" s="656">
        <v>0.05</v>
      </c>
      <c r="J48" s="657"/>
      <c r="K48" s="658"/>
      <c r="L48" s="69"/>
      <c r="M48" s="54"/>
      <c r="N48" s="70"/>
      <c r="O48" s="55"/>
      <c r="P48" s="71"/>
      <c r="Q48" s="72"/>
      <c r="R48" s="58">
        <f>F49+I49</f>
        <v>0.30282779999999998</v>
      </c>
      <c r="S48" s="636">
        <f>R48+R49</f>
        <v>5.840773792320002</v>
      </c>
      <c r="T48" s="636">
        <f>E48*S48</f>
        <v>332.92410616224009</v>
      </c>
      <c r="U48" s="730">
        <f>E48*R49</f>
        <v>315.66292156224011</v>
      </c>
      <c r="V48" s="11">
        <f t="shared" si="0"/>
        <v>7.7868982045428536</v>
      </c>
      <c r="W48" s="12">
        <f t="shared" si="1"/>
        <v>443.85319765894263</v>
      </c>
      <c r="X48" s="61"/>
      <c r="Y48" s="59"/>
    </row>
    <row r="49" spans="1:25" ht="24" hidden="1" customHeight="1">
      <c r="A49" s="686"/>
      <c r="B49" s="687"/>
      <c r="C49" s="790"/>
      <c r="D49" s="753"/>
      <c r="E49" s="691"/>
      <c r="F49" s="680">
        <f>F48*$J$13/1000</f>
        <v>0.14746979999999998</v>
      </c>
      <c r="G49" s="681"/>
      <c r="H49" s="682"/>
      <c r="I49" s="680">
        <f>I48*$Q$13/1000</f>
        <v>0.155358</v>
      </c>
      <c r="J49" s="681"/>
      <c r="K49" s="682"/>
      <c r="L49" s="73" t="s">
        <v>60</v>
      </c>
      <c r="M49" s="74" t="s">
        <v>61</v>
      </c>
      <c r="N49" s="75">
        <v>1.419</v>
      </c>
      <c r="O49" s="76">
        <f>E48*N49</f>
        <v>80.882999999999996</v>
      </c>
      <c r="P49" s="77">
        <f>2.124/1.2</f>
        <v>1.7700000000000002</v>
      </c>
      <c r="Q49" s="78">
        <f>N49*P49*$N$11</f>
        <v>2.9266718342400009</v>
      </c>
      <c r="R49" s="636">
        <f>SUM(Q49:Q51)</f>
        <v>5.5379459923200018</v>
      </c>
      <c r="S49" s="678"/>
      <c r="T49" s="678"/>
      <c r="U49" s="731"/>
      <c r="V49" s="11">
        <f t="shared" si="0"/>
        <v>0</v>
      </c>
      <c r="W49" s="12">
        <f t="shared" si="1"/>
        <v>0</v>
      </c>
      <c r="X49" s="91"/>
      <c r="Y49" s="59"/>
    </row>
    <row r="50" spans="1:25" ht="24" hidden="1" customHeight="1">
      <c r="A50" s="686"/>
      <c r="B50" s="687"/>
      <c r="C50" s="790"/>
      <c r="D50" s="753"/>
      <c r="E50" s="691"/>
      <c r="F50" s="683"/>
      <c r="G50" s="684"/>
      <c r="H50" s="685"/>
      <c r="I50" s="683"/>
      <c r="J50" s="684"/>
      <c r="K50" s="685"/>
      <c r="L50" s="79" t="s">
        <v>62</v>
      </c>
      <c r="M50" s="80" t="s">
        <v>61</v>
      </c>
      <c r="N50" s="81">
        <v>0.91600000000000004</v>
      </c>
      <c r="O50" s="82">
        <f>E48*N50</f>
        <v>52.212000000000003</v>
      </c>
      <c r="P50" s="83">
        <f>2.844/1.2</f>
        <v>2.37</v>
      </c>
      <c r="Q50" s="84">
        <f>N50*P50*$N$11</f>
        <v>2.5296601881600007</v>
      </c>
      <c r="R50" s="678"/>
      <c r="S50" s="678"/>
      <c r="T50" s="678"/>
      <c r="U50" s="731"/>
      <c r="V50" s="11">
        <f t="shared" si="0"/>
        <v>0</v>
      </c>
      <c r="W50" s="12">
        <f t="shared" si="1"/>
        <v>0</v>
      </c>
      <c r="X50" s="92"/>
      <c r="Y50" s="61"/>
    </row>
    <row r="51" spans="1:25" ht="24" hidden="1" customHeight="1">
      <c r="A51" s="644"/>
      <c r="B51" s="646"/>
      <c r="C51" s="648"/>
      <c r="D51" s="650"/>
      <c r="E51" s="692"/>
      <c r="F51" s="674"/>
      <c r="G51" s="675"/>
      <c r="H51" s="676"/>
      <c r="I51" s="674"/>
      <c r="J51" s="675"/>
      <c r="K51" s="676"/>
      <c r="L51" s="85" t="s">
        <v>63</v>
      </c>
      <c r="M51" s="86" t="s">
        <v>61</v>
      </c>
      <c r="N51" s="87">
        <v>6.8000000000000005E-2</v>
      </c>
      <c r="O51" s="88">
        <f>E48*N51</f>
        <v>3.8760000000000003</v>
      </c>
      <c r="P51" s="89">
        <f>1.236/1.2</f>
        <v>1.03</v>
      </c>
      <c r="Q51" s="90">
        <f>N51*P51*$N$11</f>
        <v>8.1613969920000029E-2</v>
      </c>
      <c r="R51" s="637"/>
      <c r="S51" s="637"/>
      <c r="T51" s="637"/>
      <c r="U51" s="732"/>
      <c r="V51" s="11">
        <f t="shared" si="0"/>
        <v>0</v>
      </c>
      <c r="W51" s="12">
        <f t="shared" si="1"/>
        <v>0</v>
      </c>
      <c r="X51" s="61"/>
      <c r="Y51" s="61"/>
    </row>
    <row r="52" spans="1:25" ht="24" customHeight="1">
      <c r="A52" s="643">
        <f>+A48+1</f>
        <v>14</v>
      </c>
      <c r="B52" s="645" t="s">
        <v>68</v>
      </c>
      <c r="C52" s="647" t="s">
        <v>213</v>
      </c>
      <c r="D52" s="649" t="s">
        <v>209</v>
      </c>
      <c r="E52" s="690">
        <v>3</v>
      </c>
      <c r="F52" s="633">
        <v>0.33</v>
      </c>
      <c r="G52" s="634"/>
      <c r="H52" s="635"/>
      <c r="I52" s="633">
        <v>0.14000000000000001</v>
      </c>
      <c r="J52" s="634"/>
      <c r="K52" s="635"/>
      <c r="L52" s="53"/>
      <c r="M52" s="54"/>
      <c r="N52" s="55"/>
      <c r="O52" s="55"/>
      <c r="P52" s="56"/>
      <c r="Q52" s="57"/>
      <c r="R52" s="58">
        <f>F53+I53</f>
        <v>1.2460863</v>
      </c>
      <c r="S52" s="636">
        <f>R52+R53</f>
        <v>6.8742341400000013</v>
      </c>
      <c r="T52" s="636">
        <f>E52*S52</f>
        <v>20.622702420000003</v>
      </c>
      <c r="U52" s="730">
        <f>E52*R53</f>
        <v>16.884443520000005</v>
      </c>
      <c r="V52" s="11">
        <f t="shared" si="0"/>
        <v>9.164703750855427</v>
      </c>
      <c r="W52" s="12">
        <f t="shared" si="1"/>
        <v>27.494111252566281</v>
      </c>
      <c r="X52" s="59"/>
      <c r="Y52" s="59"/>
    </row>
    <row r="53" spans="1:25" ht="24" hidden="1" customHeight="1">
      <c r="A53" s="644"/>
      <c r="B53" s="646"/>
      <c r="C53" s="648"/>
      <c r="D53" s="650"/>
      <c r="E53" s="692"/>
      <c r="F53" s="633">
        <f>F52*$J$13/1000</f>
        <v>0.81108389999999997</v>
      </c>
      <c r="G53" s="634"/>
      <c r="H53" s="635"/>
      <c r="I53" s="633">
        <f>I52*$Q$13/1000</f>
        <v>0.43500240000000001</v>
      </c>
      <c r="J53" s="634"/>
      <c r="K53" s="635"/>
      <c r="L53" s="62" t="s">
        <v>70</v>
      </c>
      <c r="M53" s="63" t="s">
        <v>56</v>
      </c>
      <c r="N53" s="64">
        <v>1</v>
      </c>
      <c r="O53" s="65">
        <f>E52*N53</f>
        <v>3</v>
      </c>
      <c r="P53" s="66">
        <v>4.83</v>
      </c>
      <c r="Q53" s="67">
        <f>N53*P53*$N$11</f>
        <v>5.6281478400000013</v>
      </c>
      <c r="R53" s="68">
        <f>SUM(Q53:Q53)</f>
        <v>5.6281478400000013</v>
      </c>
      <c r="S53" s="637"/>
      <c r="T53" s="637"/>
      <c r="U53" s="732"/>
      <c r="V53" s="11">
        <f t="shared" si="0"/>
        <v>0</v>
      </c>
      <c r="W53" s="12">
        <f t="shared" si="1"/>
        <v>0</v>
      </c>
      <c r="X53" s="59"/>
      <c r="Y53" s="59"/>
    </row>
    <row r="54" spans="1:25" ht="29.25" customHeight="1">
      <c r="A54" s="643">
        <f>+A52+1</f>
        <v>15</v>
      </c>
      <c r="B54" s="645" t="s">
        <v>71</v>
      </c>
      <c r="C54" s="647" t="s">
        <v>214</v>
      </c>
      <c r="D54" s="649" t="s">
        <v>209</v>
      </c>
      <c r="E54" s="690">
        <f>+E52</f>
        <v>3</v>
      </c>
      <c r="F54" s="656">
        <v>7.0000000000000007E-2</v>
      </c>
      <c r="G54" s="657"/>
      <c r="H54" s="658"/>
      <c r="I54" s="656">
        <v>0.05</v>
      </c>
      <c r="J54" s="657"/>
      <c r="K54" s="658"/>
      <c r="L54" s="69"/>
      <c r="M54" s="54"/>
      <c r="N54" s="70"/>
      <c r="O54" s="55"/>
      <c r="P54" s="71"/>
      <c r="Q54" s="72"/>
      <c r="R54" s="58">
        <f>F55+I55</f>
        <v>0.32740610000000003</v>
      </c>
      <c r="S54" s="636">
        <f>R54+R55</f>
        <v>7.1258940737600014</v>
      </c>
      <c r="T54" s="636">
        <f>E54*S54</f>
        <v>21.377682221280004</v>
      </c>
      <c r="U54" s="730">
        <f>E54*R55</f>
        <v>20.395463921280005</v>
      </c>
      <c r="V54" s="11">
        <f t="shared" si="0"/>
        <v>9.5002158518253097</v>
      </c>
      <c r="W54" s="12">
        <f t="shared" si="1"/>
        <v>28.500647555475929</v>
      </c>
      <c r="X54" s="61"/>
      <c r="Y54" s="61"/>
    </row>
    <row r="55" spans="1:25" ht="24" hidden="1" customHeight="1">
      <c r="A55" s="686"/>
      <c r="B55" s="687"/>
      <c r="C55" s="790"/>
      <c r="D55" s="753"/>
      <c r="E55" s="691"/>
      <c r="F55" s="680">
        <f>F54*$J$13/1000</f>
        <v>0.17204810000000001</v>
      </c>
      <c r="G55" s="681"/>
      <c r="H55" s="682"/>
      <c r="I55" s="680">
        <f>I54*$Q$13/1000</f>
        <v>0.155358</v>
      </c>
      <c r="J55" s="681"/>
      <c r="K55" s="682"/>
      <c r="L55" s="73" t="s">
        <v>60</v>
      </c>
      <c r="M55" s="74" t="s">
        <v>61</v>
      </c>
      <c r="N55" s="75">
        <v>1.7370000000000001</v>
      </c>
      <c r="O55" s="76">
        <f>E54*N55</f>
        <v>5.2110000000000003</v>
      </c>
      <c r="P55" s="77">
        <f>2.124/1.2</f>
        <v>1.7700000000000002</v>
      </c>
      <c r="Q55" s="78">
        <f>N55*P55*$N$11</f>
        <v>3.5825433235200013</v>
      </c>
      <c r="R55" s="636">
        <f>SUM(Q55:Q57)</f>
        <v>6.7984879737600012</v>
      </c>
      <c r="S55" s="678"/>
      <c r="T55" s="678"/>
      <c r="U55" s="731"/>
      <c r="V55" s="11">
        <f t="shared" si="0"/>
        <v>0</v>
      </c>
      <c r="W55" s="12">
        <f t="shared" si="1"/>
        <v>0</v>
      </c>
      <c r="X55" s="61"/>
      <c r="Y55" s="61"/>
    </row>
    <row r="56" spans="1:25" ht="24" hidden="1" customHeight="1">
      <c r="A56" s="686"/>
      <c r="B56" s="687"/>
      <c r="C56" s="790"/>
      <c r="D56" s="753"/>
      <c r="E56" s="691"/>
      <c r="F56" s="683"/>
      <c r="G56" s="684"/>
      <c r="H56" s="685"/>
      <c r="I56" s="683"/>
      <c r="J56" s="684"/>
      <c r="K56" s="685"/>
      <c r="L56" s="79" t="s">
        <v>62</v>
      </c>
      <c r="M56" s="80" t="s">
        <v>61</v>
      </c>
      <c r="N56" s="81">
        <v>1.1279999999999999</v>
      </c>
      <c r="O56" s="82">
        <f>E54*N56</f>
        <v>3.3839999999999995</v>
      </c>
      <c r="P56" s="83">
        <f>2.844/1.2</f>
        <v>2.37</v>
      </c>
      <c r="Q56" s="84">
        <f>N56*P56*$N$11</f>
        <v>3.1151273932800003</v>
      </c>
      <c r="R56" s="678"/>
      <c r="S56" s="678"/>
      <c r="T56" s="678"/>
      <c r="U56" s="731"/>
      <c r="V56" s="11">
        <f t="shared" si="0"/>
        <v>0</v>
      </c>
      <c r="W56" s="12">
        <f t="shared" si="1"/>
        <v>0</v>
      </c>
      <c r="X56" s="61"/>
      <c r="Y56" s="61"/>
    </row>
    <row r="57" spans="1:25" ht="24" hidden="1" customHeight="1">
      <c r="A57" s="644"/>
      <c r="B57" s="646"/>
      <c r="C57" s="648"/>
      <c r="D57" s="650"/>
      <c r="E57" s="692"/>
      <c r="F57" s="674"/>
      <c r="G57" s="675"/>
      <c r="H57" s="676"/>
      <c r="I57" s="674"/>
      <c r="J57" s="675"/>
      <c r="K57" s="676"/>
      <c r="L57" s="85" t="s">
        <v>63</v>
      </c>
      <c r="M57" s="86" t="s">
        <v>61</v>
      </c>
      <c r="N57" s="87">
        <v>8.4000000000000005E-2</v>
      </c>
      <c r="O57" s="88">
        <f>E54*N57</f>
        <v>0.252</v>
      </c>
      <c r="P57" s="89">
        <f>1.236/1.2</f>
        <v>1.03</v>
      </c>
      <c r="Q57" s="90">
        <f>N57*P57*$N$11</f>
        <v>0.10081725696000005</v>
      </c>
      <c r="R57" s="637"/>
      <c r="S57" s="637"/>
      <c r="T57" s="637"/>
      <c r="U57" s="732"/>
      <c r="V57" s="11">
        <f t="shared" si="0"/>
        <v>0</v>
      </c>
      <c r="W57" s="12">
        <f t="shared" si="1"/>
        <v>0</v>
      </c>
      <c r="X57" s="61"/>
      <c r="Y57" s="61"/>
    </row>
    <row r="58" spans="1:25" ht="24" customHeight="1">
      <c r="A58" s="643">
        <f>+A54+1</f>
        <v>16</v>
      </c>
      <c r="B58" s="645" t="s">
        <v>73</v>
      </c>
      <c r="C58" s="647" t="s">
        <v>215</v>
      </c>
      <c r="D58" s="649" t="s">
        <v>209</v>
      </c>
      <c r="E58" s="690">
        <v>3</v>
      </c>
      <c r="F58" s="633">
        <v>0.31</v>
      </c>
      <c r="G58" s="634"/>
      <c r="H58" s="635"/>
      <c r="I58" s="633">
        <v>0.2</v>
      </c>
      <c r="J58" s="634"/>
      <c r="K58" s="635"/>
      <c r="L58" s="53"/>
      <c r="M58" s="54"/>
      <c r="N58" s="55"/>
      <c r="O58" s="55"/>
      <c r="P58" s="56"/>
      <c r="Q58" s="57"/>
      <c r="R58" s="58">
        <f>F59+I59</f>
        <v>1.3833593</v>
      </c>
      <c r="S58" s="636">
        <f>R58+R59</f>
        <v>8.9574713000000017</v>
      </c>
      <c r="T58" s="636">
        <f>E58*S58</f>
        <v>26.872413900000005</v>
      </c>
      <c r="U58" s="730">
        <f>E58*R59</f>
        <v>22.722336000000006</v>
      </c>
      <c r="V58" s="11">
        <f t="shared" si="0"/>
        <v>11.9420678943138</v>
      </c>
      <c r="W58" s="12">
        <f t="shared" si="1"/>
        <v>35.826203682941397</v>
      </c>
      <c r="X58" s="59"/>
      <c r="Y58" s="59"/>
    </row>
    <row r="59" spans="1:25" ht="24" hidden="1" customHeight="1">
      <c r="A59" s="644"/>
      <c r="B59" s="646"/>
      <c r="C59" s="648"/>
      <c r="D59" s="650"/>
      <c r="E59" s="692"/>
      <c r="F59" s="633">
        <f>F58*$J$13/1000</f>
        <v>0.76192729999999997</v>
      </c>
      <c r="G59" s="634"/>
      <c r="H59" s="635"/>
      <c r="I59" s="633">
        <f>I58*$Q$13/1000</f>
        <v>0.62143199999999998</v>
      </c>
      <c r="J59" s="634"/>
      <c r="K59" s="635"/>
      <c r="L59" s="62" t="s">
        <v>75</v>
      </c>
      <c r="M59" s="63" t="s">
        <v>56</v>
      </c>
      <c r="N59" s="64">
        <v>1</v>
      </c>
      <c r="O59" s="65">
        <f>E58*N59</f>
        <v>3</v>
      </c>
      <c r="P59" s="66">
        <v>6.5</v>
      </c>
      <c r="Q59" s="67">
        <f>N59*P59*$N$11</f>
        <v>7.5741120000000022</v>
      </c>
      <c r="R59" s="68">
        <f>SUM(Q59:Q59)</f>
        <v>7.5741120000000022</v>
      </c>
      <c r="S59" s="637"/>
      <c r="T59" s="637"/>
      <c r="U59" s="732"/>
      <c r="V59" s="11">
        <f t="shared" si="0"/>
        <v>0</v>
      </c>
      <c r="W59" s="12">
        <f t="shared" si="1"/>
        <v>0</v>
      </c>
      <c r="X59" s="59"/>
      <c r="Y59" s="59"/>
    </row>
    <row r="60" spans="1:25" ht="27.75" customHeight="1">
      <c r="A60" s="643">
        <f>+A58+1</f>
        <v>17</v>
      </c>
      <c r="B60" s="645" t="s">
        <v>76</v>
      </c>
      <c r="C60" s="647" t="s">
        <v>216</v>
      </c>
      <c r="D60" s="649" t="s">
        <v>209</v>
      </c>
      <c r="E60" s="690">
        <f>+E58</f>
        <v>3</v>
      </c>
      <c r="F60" s="656">
        <v>0.03</v>
      </c>
      <c r="G60" s="657"/>
      <c r="H60" s="658"/>
      <c r="I60" s="656">
        <v>0.17</v>
      </c>
      <c r="J60" s="657"/>
      <c r="K60" s="658"/>
      <c r="L60" s="69"/>
      <c r="M60" s="54"/>
      <c r="N60" s="70"/>
      <c r="O60" s="55"/>
      <c r="P60" s="71"/>
      <c r="Q60" s="72"/>
      <c r="R60" s="58">
        <f>F61+I61</f>
        <v>0.6019521000000001</v>
      </c>
      <c r="S60" s="636">
        <f>R60+R61</f>
        <v>8.7098875137600036</v>
      </c>
      <c r="T60" s="636">
        <f>E60*S60</f>
        <v>26.129662541280013</v>
      </c>
      <c r="U60" s="730">
        <f>E60*R61</f>
        <v>24.32380624128001</v>
      </c>
      <c r="V60" s="11">
        <f t="shared" si="0"/>
        <v>11.611990098272262</v>
      </c>
      <c r="W60" s="12">
        <f t="shared" si="1"/>
        <v>34.835970294816789</v>
      </c>
      <c r="X60" s="61"/>
      <c r="Y60" s="61"/>
    </row>
    <row r="61" spans="1:25" ht="24" hidden="1" customHeight="1">
      <c r="A61" s="686"/>
      <c r="B61" s="687"/>
      <c r="C61" s="790"/>
      <c r="D61" s="753"/>
      <c r="E61" s="691"/>
      <c r="F61" s="680">
        <f>F60*$J$13/1000</f>
        <v>7.3734899999999992E-2</v>
      </c>
      <c r="G61" s="681"/>
      <c r="H61" s="682"/>
      <c r="I61" s="680">
        <f>I60*$Q$13/1000</f>
        <v>0.52821720000000005</v>
      </c>
      <c r="J61" s="681"/>
      <c r="K61" s="682"/>
      <c r="L61" s="73" t="s">
        <v>60</v>
      </c>
      <c r="M61" s="74" t="s">
        <v>61</v>
      </c>
      <c r="N61" s="75">
        <v>2.0680000000000001</v>
      </c>
      <c r="O61" s="76">
        <f>E60*N61</f>
        <v>6.2040000000000006</v>
      </c>
      <c r="P61" s="77">
        <f>2.124/1.2</f>
        <v>1.7700000000000002</v>
      </c>
      <c r="Q61" s="78">
        <f>N61*P61*$N$11</f>
        <v>4.2652271692800019</v>
      </c>
      <c r="R61" s="636">
        <f>SUM(Q61:Q63)</f>
        <v>8.1079354137600035</v>
      </c>
      <c r="S61" s="678"/>
      <c r="T61" s="678"/>
      <c r="U61" s="731"/>
      <c r="V61" s="11">
        <f t="shared" si="0"/>
        <v>0</v>
      </c>
      <c r="W61" s="12">
        <f t="shared" si="1"/>
        <v>0</v>
      </c>
      <c r="X61" s="61"/>
      <c r="Y61" s="61"/>
    </row>
    <row r="62" spans="1:25" ht="24" hidden="1" customHeight="1">
      <c r="A62" s="686"/>
      <c r="B62" s="687"/>
      <c r="C62" s="790"/>
      <c r="D62" s="753"/>
      <c r="E62" s="691"/>
      <c r="F62" s="683"/>
      <c r="G62" s="684"/>
      <c r="H62" s="685"/>
      <c r="I62" s="683"/>
      <c r="J62" s="684"/>
      <c r="K62" s="685"/>
      <c r="L62" s="79" t="s">
        <v>62</v>
      </c>
      <c r="M62" s="80" t="s">
        <v>61</v>
      </c>
      <c r="N62" s="81">
        <v>1.3480000000000001</v>
      </c>
      <c r="O62" s="82">
        <f>E60*N62</f>
        <v>4.0440000000000005</v>
      </c>
      <c r="P62" s="83">
        <f>2.844/1.2</f>
        <v>2.37</v>
      </c>
      <c r="Q62" s="84">
        <f>N62*P62*$N$11</f>
        <v>3.7226877004800016</v>
      </c>
      <c r="R62" s="678"/>
      <c r="S62" s="678"/>
      <c r="T62" s="678"/>
      <c r="U62" s="731"/>
      <c r="V62" s="11">
        <f t="shared" si="0"/>
        <v>0</v>
      </c>
      <c r="W62" s="12">
        <f t="shared" si="1"/>
        <v>0</v>
      </c>
      <c r="X62" s="61"/>
      <c r="Y62" s="61"/>
    </row>
    <row r="63" spans="1:25" ht="24" hidden="1" customHeight="1">
      <c r="A63" s="644"/>
      <c r="B63" s="646"/>
      <c r="C63" s="648"/>
      <c r="D63" s="650"/>
      <c r="E63" s="692"/>
      <c r="F63" s="674"/>
      <c r="G63" s="675"/>
      <c r="H63" s="676"/>
      <c r="I63" s="674"/>
      <c r="J63" s="675"/>
      <c r="K63" s="676"/>
      <c r="L63" s="85" t="s">
        <v>63</v>
      </c>
      <c r="M63" s="86" t="s">
        <v>61</v>
      </c>
      <c r="N63" s="87">
        <v>0.1</v>
      </c>
      <c r="O63" s="88">
        <f>E60*N63</f>
        <v>0.30000000000000004</v>
      </c>
      <c r="P63" s="89">
        <f>1.236/1.2</f>
        <v>1.03</v>
      </c>
      <c r="Q63" s="90">
        <f>N63*P63*$N$11</f>
        <v>0.12002054400000003</v>
      </c>
      <c r="R63" s="637"/>
      <c r="S63" s="637"/>
      <c r="T63" s="637"/>
      <c r="U63" s="732"/>
      <c r="V63" s="11">
        <f t="shared" si="0"/>
        <v>0</v>
      </c>
      <c r="W63" s="12">
        <f t="shared" si="1"/>
        <v>0</v>
      </c>
      <c r="X63" s="61"/>
      <c r="Y63" s="61"/>
    </row>
    <row r="64" spans="1:25" ht="24" customHeight="1">
      <c r="A64" s="787">
        <f>+A60+1</f>
        <v>18</v>
      </c>
      <c r="B64" s="578" t="s">
        <v>78</v>
      </c>
      <c r="C64" s="647" t="s">
        <v>217</v>
      </c>
      <c r="D64" s="791" t="s">
        <v>218</v>
      </c>
      <c r="E64" s="595">
        <v>4</v>
      </c>
      <c r="F64" s="576">
        <f>4.72*0.15</f>
        <v>0.70799999999999996</v>
      </c>
      <c r="G64" s="576"/>
      <c r="H64" s="576"/>
      <c r="I64" s="576">
        <f>2.07*0.15</f>
        <v>0.31049999999999994</v>
      </c>
      <c r="J64" s="576"/>
      <c r="K64" s="774"/>
      <c r="L64" s="69"/>
      <c r="M64" s="54"/>
      <c r="N64" s="55"/>
      <c r="O64" s="55"/>
      <c r="P64" s="55"/>
      <c r="Q64" s="78"/>
      <c r="R64" s="93">
        <f>F65+I65</f>
        <v>2.7049168199999998</v>
      </c>
      <c r="S64" s="576">
        <f>R64+R65</f>
        <v>4.7260329296629209</v>
      </c>
      <c r="T64" s="576">
        <f>E64*S64</f>
        <v>18.904131718651684</v>
      </c>
      <c r="U64" s="714">
        <f>R65*E64</f>
        <v>8.0844644386516862</v>
      </c>
      <c r="V64" s="11">
        <f t="shared" si="0"/>
        <v>6.3007297736803629</v>
      </c>
      <c r="W64" s="12">
        <f t="shared" si="1"/>
        <v>25.202919094721452</v>
      </c>
      <c r="X64" s="94"/>
      <c r="Y64" s="94"/>
    </row>
    <row r="65" spans="1:25" ht="24" hidden="1" customHeight="1">
      <c r="A65" s="788"/>
      <c r="B65" s="578"/>
      <c r="C65" s="790"/>
      <c r="D65" s="792"/>
      <c r="E65" s="595"/>
      <c r="F65" s="775">
        <f>F64*$J$13/1000</f>
        <v>1.7401436399999999</v>
      </c>
      <c r="G65" s="776"/>
      <c r="H65" s="777"/>
      <c r="I65" s="781">
        <f>I64*$Q$13/1000</f>
        <v>0.96477317999999979</v>
      </c>
      <c r="J65" s="782"/>
      <c r="K65" s="783"/>
      <c r="L65" s="95" t="s">
        <v>81</v>
      </c>
      <c r="M65" s="74" t="s">
        <v>61</v>
      </c>
      <c r="N65" s="96">
        <v>2</v>
      </c>
      <c r="O65" s="76">
        <f>E64*N65</f>
        <v>8</v>
      </c>
      <c r="P65" s="97">
        <v>0.16500000000000001</v>
      </c>
      <c r="Q65" s="78">
        <f>N65*P65*$N$11</f>
        <v>0.38453184000000012</v>
      </c>
      <c r="R65" s="576">
        <f>SUM(Q65:Q66)</f>
        <v>2.0211161096629215</v>
      </c>
      <c r="S65" s="576"/>
      <c r="T65" s="576"/>
      <c r="U65" s="714"/>
      <c r="V65" s="11">
        <f t="shared" si="0"/>
        <v>0</v>
      </c>
      <c r="W65" s="12">
        <f t="shared" si="1"/>
        <v>0</v>
      </c>
      <c r="X65" s="94"/>
      <c r="Y65" s="94"/>
    </row>
    <row r="66" spans="1:25" ht="24" hidden="1" customHeight="1">
      <c r="A66" s="789"/>
      <c r="B66" s="578"/>
      <c r="C66" s="648"/>
      <c r="D66" s="793"/>
      <c r="E66" s="595"/>
      <c r="F66" s="778"/>
      <c r="G66" s="779"/>
      <c r="H66" s="780"/>
      <c r="I66" s="784"/>
      <c r="J66" s="785"/>
      <c r="K66" s="786"/>
      <c r="L66" s="98" t="s">
        <v>82</v>
      </c>
      <c r="M66" s="99" t="s">
        <v>61</v>
      </c>
      <c r="N66" s="100">
        <v>1</v>
      </c>
      <c r="O66" s="88">
        <f>E64*N66</f>
        <v>4</v>
      </c>
      <c r="P66" s="101">
        <f>1.25/0.89</f>
        <v>1.4044943820224718</v>
      </c>
      <c r="Q66" s="90">
        <f>N66*P66*$N$11</f>
        <v>1.6365842696629216</v>
      </c>
      <c r="R66" s="576"/>
      <c r="S66" s="576"/>
      <c r="T66" s="576"/>
      <c r="U66" s="714"/>
      <c r="V66" s="11">
        <f t="shared" si="0"/>
        <v>0</v>
      </c>
      <c r="W66" s="12">
        <f t="shared" si="1"/>
        <v>0</v>
      </c>
      <c r="X66" s="94"/>
      <c r="Y66" s="94"/>
    </row>
    <row r="67" spans="1:25" ht="24" customHeight="1">
      <c r="A67" s="643">
        <f>+A64+1</f>
        <v>19</v>
      </c>
      <c r="B67" s="645" t="s">
        <v>83</v>
      </c>
      <c r="C67" s="647" t="s">
        <v>219</v>
      </c>
      <c r="D67" s="649" t="s">
        <v>209</v>
      </c>
      <c r="E67" s="651">
        <v>15</v>
      </c>
      <c r="F67" s="633">
        <v>0.33</v>
      </c>
      <c r="G67" s="634"/>
      <c r="H67" s="635"/>
      <c r="I67" s="633">
        <v>0.31</v>
      </c>
      <c r="J67" s="634"/>
      <c r="K67" s="635"/>
      <c r="L67" s="53"/>
      <c r="M67" s="54"/>
      <c r="N67" s="55"/>
      <c r="O67" s="55"/>
      <c r="P67" s="102"/>
      <c r="Q67" s="57"/>
      <c r="R67" s="58">
        <f>F68+I68</f>
        <v>1.7743034999999998</v>
      </c>
      <c r="S67" s="636">
        <f>R67+R68</f>
        <v>22.069427916000006</v>
      </c>
      <c r="T67" s="636">
        <f>E67*S67</f>
        <v>331.0414187400001</v>
      </c>
      <c r="U67" s="730">
        <f>E67*R68</f>
        <v>304.42686624000009</v>
      </c>
      <c r="V67" s="11">
        <f t="shared" si="0"/>
        <v>29.422880379369602</v>
      </c>
      <c r="W67" s="12">
        <f t="shared" si="1"/>
        <v>441.34320569054404</v>
      </c>
      <c r="X67" s="59"/>
      <c r="Y67" s="103"/>
    </row>
    <row r="68" spans="1:25" ht="24" hidden="1" customHeight="1">
      <c r="A68" s="644"/>
      <c r="B68" s="646"/>
      <c r="C68" s="648"/>
      <c r="D68" s="650"/>
      <c r="E68" s="652"/>
      <c r="F68" s="633">
        <f>F67*$J$13/1000</f>
        <v>0.81108389999999997</v>
      </c>
      <c r="G68" s="634"/>
      <c r="H68" s="635"/>
      <c r="I68" s="633">
        <f>I67*$Q$13/1000</f>
        <v>0.96321959999999995</v>
      </c>
      <c r="J68" s="634"/>
      <c r="K68" s="635"/>
      <c r="L68" s="104" t="s">
        <v>84</v>
      </c>
      <c r="M68" s="63" t="s">
        <v>56</v>
      </c>
      <c r="N68" s="64">
        <v>1</v>
      </c>
      <c r="O68" s="65">
        <f>E67*N68</f>
        <v>15</v>
      </c>
      <c r="P68" s="105">
        <v>17.417000000000002</v>
      </c>
      <c r="Q68" s="67">
        <f>N68*P68*$N$11</f>
        <v>20.295124416000007</v>
      </c>
      <c r="R68" s="68">
        <f>SUM(Q68:Q68)</f>
        <v>20.295124416000007</v>
      </c>
      <c r="S68" s="637"/>
      <c r="T68" s="637"/>
      <c r="U68" s="732"/>
      <c r="V68" s="11">
        <f t="shared" si="0"/>
        <v>0</v>
      </c>
      <c r="W68" s="12">
        <f t="shared" si="1"/>
        <v>0</v>
      </c>
      <c r="X68" s="59"/>
      <c r="Y68" s="103"/>
    </row>
    <row r="69" spans="1:25" ht="24" customHeight="1">
      <c r="A69" s="643">
        <f>1+A67</f>
        <v>20</v>
      </c>
      <c r="B69" s="645" t="s">
        <v>73</v>
      </c>
      <c r="C69" s="647" t="s">
        <v>220</v>
      </c>
      <c r="D69" s="649" t="s">
        <v>209</v>
      </c>
      <c r="E69" s="651">
        <v>1215</v>
      </c>
      <c r="F69" s="633">
        <v>0.31</v>
      </c>
      <c r="G69" s="634"/>
      <c r="H69" s="635"/>
      <c r="I69" s="633">
        <v>0.2</v>
      </c>
      <c r="J69" s="634"/>
      <c r="K69" s="635"/>
      <c r="L69" s="53"/>
      <c r="M69" s="54"/>
      <c r="N69" s="55"/>
      <c r="O69" s="55"/>
      <c r="P69" s="102"/>
      <c r="Q69" s="57"/>
      <c r="R69" s="58">
        <f>F70+I70</f>
        <v>1.3833593</v>
      </c>
      <c r="S69" s="636">
        <f>R69+R70</f>
        <v>8.9667932840000013</v>
      </c>
      <c r="T69" s="636">
        <f>E69*S69</f>
        <v>10894.653840060002</v>
      </c>
      <c r="U69" s="730">
        <f>E69*R70</f>
        <v>9213.8722905600025</v>
      </c>
      <c r="V69" s="11">
        <f t="shared" si="0"/>
        <v>11.954495929203256</v>
      </c>
      <c r="W69" s="12">
        <f t="shared" si="1"/>
        <v>14524.712553981957</v>
      </c>
      <c r="X69" s="59"/>
      <c r="Y69" s="59"/>
    </row>
    <row r="70" spans="1:25" ht="24" hidden="1" customHeight="1">
      <c r="A70" s="644"/>
      <c r="B70" s="646"/>
      <c r="C70" s="648"/>
      <c r="D70" s="650"/>
      <c r="E70" s="652"/>
      <c r="F70" s="633">
        <f>F69*$J$13/1000</f>
        <v>0.76192729999999997</v>
      </c>
      <c r="G70" s="634"/>
      <c r="H70" s="635"/>
      <c r="I70" s="633">
        <f>I69*$Q$13/1000</f>
        <v>0.62143199999999998</v>
      </c>
      <c r="J70" s="634"/>
      <c r="K70" s="635"/>
      <c r="L70" s="104" t="s">
        <v>86</v>
      </c>
      <c r="M70" s="63" t="s">
        <v>56</v>
      </c>
      <c r="N70" s="64">
        <v>1</v>
      </c>
      <c r="O70" s="65">
        <f>E69*N70</f>
        <v>1215</v>
      </c>
      <c r="P70" s="66">
        <v>6.508</v>
      </c>
      <c r="Q70" s="67">
        <f>N70*P70*$N$11</f>
        <v>7.5834339840000018</v>
      </c>
      <c r="R70" s="68">
        <f>SUM(Q70:Q70)</f>
        <v>7.5834339840000018</v>
      </c>
      <c r="S70" s="637"/>
      <c r="T70" s="637"/>
      <c r="U70" s="732"/>
      <c r="V70" s="11">
        <f t="shared" si="0"/>
        <v>0</v>
      </c>
      <c r="W70" s="12">
        <f t="shared" si="1"/>
        <v>0</v>
      </c>
      <c r="X70" s="59"/>
      <c r="Y70" s="59"/>
    </row>
    <row r="71" spans="1:25" ht="24" customHeight="1">
      <c r="A71" s="643">
        <f>+A69+1</f>
        <v>21</v>
      </c>
      <c r="B71" s="645" t="s">
        <v>68</v>
      </c>
      <c r="C71" s="647" t="s">
        <v>221</v>
      </c>
      <c r="D71" s="649" t="s">
        <v>209</v>
      </c>
      <c r="E71" s="651">
        <v>89</v>
      </c>
      <c r="F71" s="633">
        <v>0.33</v>
      </c>
      <c r="G71" s="634"/>
      <c r="H71" s="635"/>
      <c r="I71" s="633">
        <v>0.14000000000000001</v>
      </c>
      <c r="J71" s="634"/>
      <c r="K71" s="635"/>
      <c r="L71" s="53"/>
      <c r="M71" s="54"/>
      <c r="N71" s="55"/>
      <c r="O71" s="55"/>
      <c r="P71" s="102"/>
      <c r="Q71" s="57"/>
      <c r="R71" s="58">
        <f>F72+I72</f>
        <v>1.2460863</v>
      </c>
      <c r="S71" s="636">
        <f>R71+R72</f>
        <v>6.8742341400000013</v>
      </c>
      <c r="T71" s="636">
        <f>E71*S71</f>
        <v>611.80683846000011</v>
      </c>
      <c r="U71" s="730">
        <f>E71*R72</f>
        <v>500.90515776000012</v>
      </c>
      <c r="V71" s="11">
        <f t="shared" si="0"/>
        <v>9.164703750855427</v>
      </c>
      <c r="W71" s="12">
        <f t="shared" si="1"/>
        <v>815.65863382613304</v>
      </c>
      <c r="X71" s="59"/>
      <c r="Y71" s="103"/>
    </row>
    <row r="72" spans="1:25" ht="24" hidden="1" customHeight="1">
      <c r="A72" s="644"/>
      <c r="B72" s="646"/>
      <c r="C72" s="648"/>
      <c r="D72" s="650"/>
      <c r="E72" s="652"/>
      <c r="F72" s="633">
        <f>F71*$J$13/1000</f>
        <v>0.81108389999999997</v>
      </c>
      <c r="G72" s="634"/>
      <c r="H72" s="635"/>
      <c r="I72" s="633">
        <f>I71*$Q$13/1000</f>
        <v>0.43500240000000001</v>
      </c>
      <c r="J72" s="634"/>
      <c r="K72" s="635"/>
      <c r="L72" s="104" t="s">
        <v>87</v>
      </c>
      <c r="M72" s="63" t="s">
        <v>56</v>
      </c>
      <c r="N72" s="64">
        <v>1</v>
      </c>
      <c r="O72" s="65">
        <f>E71*N72</f>
        <v>89</v>
      </c>
      <c r="P72" s="66">
        <v>4.83</v>
      </c>
      <c r="Q72" s="67">
        <f>N72*P72*$N$11</f>
        <v>5.6281478400000013</v>
      </c>
      <c r="R72" s="68">
        <f>SUM(Q72:Q72)</f>
        <v>5.6281478400000013</v>
      </c>
      <c r="S72" s="637"/>
      <c r="T72" s="637"/>
      <c r="U72" s="732"/>
      <c r="V72" s="11">
        <f t="shared" si="0"/>
        <v>0</v>
      </c>
      <c r="W72" s="12">
        <f t="shared" si="1"/>
        <v>0</v>
      </c>
      <c r="X72" s="59"/>
      <c r="Y72" s="103"/>
    </row>
    <row r="73" spans="1:25" ht="24" customHeight="1">
      <c r="A73" s="643">
        <f>+A71+1</f>
        <v>22</v>
      </c>
      <c r="B73" s="645" t="s">
        <v>64</v>
      </c>
      <c r="C73" s="647" t="s">
        <v>222</v>
      </c>
      <c r="D73" s="649" t="s">
        <v>209</v>
      </c>
      <c r="E73" s="651">
        <v>1617</v>
      </c>
      <c r="F73" s="633">
        <v>0.28000000000000003</v>
      </c>
      <c r="G73" s="634"/>
      <c r="H73" s="635"/>
      <c r="I73" s="633">
        <v>0.18</v>
      </c>
      <c r="J73" s="634"/>
      <c r="K73" s="635"/>
      <c r="L73" s="53"/>
      <c r="M73" s="54"/>
      <c r="N73" s="55"/>
      <c r="O73" s="55"/>
      <c r="P73" s="102"/>
      <c r="Q73" s="57"/>
      <c r="R73" s="58">
        <f>F74+I74</f>
        <v>1.2474812</v>
      </c>
      <c r="S73" s="636">
        <f>R73+R74</f>
        <v>5.4074165600000006</v>
      </c>
      <c r="T73" s="636">
        <f>E73*S73</f>
        <v>8743.7925775200001</v>
      </c>
      <c r="U73" s="730">
        <f>E73*R74</f>
        <v>6726.6154771200008</v>
      </c>
      <c r="V73" s="11">
        <f t="shared" si="0"/>
        <v>7.2091479313315538</v>
      </c>
      <c r="W73" s="12">
        <f t="shared" si="1"/>
        <v>11657.192204963123</v>
      </c>
      <c r="X73" s="59"/>
      <c r="Y73" s="103"/>
    </row>
    <row r="74" spans="1:25" ht="24" hidden="1" customHeight="1">
      <c r="A74" s="644"/>
      <c r="B74" s="646"/>
      <c r="C74" s="648"/>
      <c r="D74" s="650"/>
      <c r="E74" s="652"/>
      <c r="F74" s="633">
        <f>F73*$J$13/1000</f>
        <v>0.68819240000000004</v>
      </c>
      <c r="G74" s="634"/>
      <c r="H74" s="635"/>
      <c r="I74" s="633">
        <f>I73*$Q$13/1000</f>
        <v>0.55928879999999992</v>
      </c>
      <c r="J74" s="634"/>
      <c r="K74" s="635"/>
      <c r="L74" s="104" t="s">
        <v>88</v>
      </c>
      <c r="M74" s="63" t="s">
        <v>56</v>
      </c>
      <c r="N74" s="64">
        <v>1</v>
      </c>
      <c r="O74" s="65">
        <f>E73*N74</f>
        <v>1617</v>
      </c>
      <c r="P74" s="66">
        <v>3.57</v>
      </c>
      <c r="Q74" s="67">
        <f>N74*P74*$N$11</f>
        <v>4.1599353600000004</v>
      </c>
      <c r="R74" s="68">
        <f>SUM(Q74:Q74)</f>
        <v>4.1599353600000004</v>
      </c>
      <c r="S74" s="637"/>
      <c r="T74" s="637"/>
      <c r="U74" s="732"/>
      <c r="V74" s="11">
        <f t="shared" si="0"/>
        <v>0</v>
      </c>
      <c r="W74" s="12">
        <f t="shared" si="1"/>
        <v>0</v>
      </c>
      <c r="X74" s="59"/>
      <c r="Y74" s="103"/>
    </row>
    <row r="75" spans="1:25" ht="24" customHeight="1">
      <c r="A75" s="643">
        <f t="shared" ref="A75" si="5">+A73+1</f>
        <v>23</v>
      </c>
      <c r="B75" s="645" t="s">
        <v>55</v>
      </c>
      <c r="C75" s="647" t="s">
        <v>223</v>
      </c>
      <c r="D75" s="649" t="s">
        <v>209</v>
      </c>
      <c r="E75" s="651">
        <v>1107</v>
      </c>
      <c r="F75" s="633">
        <v>0.27</v>
      </c>
      <c r="G75" s="634"/>
      <c r="H75" s="635"/>
      <c r="I75" s="633">
        <v>0.17</v>
      </c>
      <c r="J75" s="634"/>
      <c r="K75" s="635"/>
      <c r="L75" s="53"/>
      <c r="M75" s="54"/>
      <c r="N75" s="55"/>
      <c r="O75" s="55"/>
      <c r="P75" s="102"/>
      <c r="Q75" s="57"/>
      <c r="R75" s="58">
        <f>F76+I76</f>
        <v>1.1918313</v>
      </c>
      <c r="S75" s="636">
        <f>R75+R76</f>
        <v>4.6176604200000009</v>
      </c>
      <c r="T75" s="636">
        <f>E75*S75</f>
        <v>5111.7500849400012</v>
      </c>
      <c r="U75" s="730">
        <f>E75*R76</f>
        <v>3792.3928358400008</v>
      </c>
      <c r="V75" s="11">
        <f t="shared" si="0"/>
        <v>6.1562479411489237</v>
      </c>
      <c r="W75" s="12">
        <f t="shared" si="1"/>
        <v>6814.9664708518585</v>
      </c>
      <c r="X75" s="59"/>
      <c r="Y75" s="103"/>
    </row>
    <row r="76" spans="1:25" ht="24" hidden="1" customHeight="1">
      <c r="A76" s="644"/>
      <c r="B76" s="646"/>
      <c r="C76" s="648"/>
      <c r="D76" s="650"/>
      <c r="E76" s="652"/>
      <c r="F76" s="633">
        <f>F75*$J$13/1000</f>
        <v>0.66361409999999998</v>
      </c>
      <c r="G76" s="634"/>
      <c r="H76" s="635"/>
      <c r="I76" s="633">
        <f>I75*$Q$13/1000</f>
        <v>0.52821720000000005</v>
      </c>
      <c r="J76" s="634"/>
      <c r="K76" s="635"/>
      <c r="L76" s="104" t="s">
        <v>89</v>
      </c>
      <c r="M76" s="63" t="s">
        <v>56</v>
      </c>
      <c r="N76" s="64">
        <v>1</v>
      </c>
      <c r="O76" s="65">
        <f>E75*N76</f>
        <v>1107</v>
      </c>
      <c r="P76" s="66">
        <v>2.94</v>
      </c>
      <c r="Q76" s="67">
        <f>N76*P76*$N$11</f>
        <v>3.4258291200000008</v>
      </c>
      <c r="R76" s="68">
        <f>SUM(Q76:Q76)</f>
        <v>3.4258291200000008</v>
      </c>
      <c r="S76" s="637"/>
      <c r="T76" s="637"/>
      <c r="U76" s="732"/>
      <c r="V76" s="11">
        <f t="shared" si="0"/>
        <v>0</v>
      </c>
      <c r="W76" s="12">
        <f t="shared" si="1"/>
        <v>0</v>
      </c>
      <c r="X76" s="59"/>
      <c r="Y76" s="103"/>
    </row>
    <row r="77" spans="1:25" ht="24" customHeight="1">
      <c r="A77" s="643">
        <f t="shared" ref="A77" si="6">+A75+1</f>
        <v>24</v>
      </c>
      <c r="B77" s="645" t="s">
        <v>55</v>
      </c>
      <c r="C77" s="647" t="s">
        <v>224</v>
      </c>
      <c r="D77" s="649" t="s">
        <v>209</v>
      </c>
      <c r="E77" s="651">
        <v>583</v>
      </c>
      <c r="F77" s="633">
        <v>0.27</v>
      </c>
      <c r="G77" s="634"/>
      <c r="H77" s="635"/>
      <c r="I77" s="633">
        <v>0.17</v>
      </c>
      <c r="J77" s="634"/>
      <c r="K77" s="635"/>
      <c r="L77" s="53"/>
      <c r="M77" s="54"/>
      <c r="N77" s="55"/>
      <c r="O77" s="55"/>
      <c r="P77" s="102"/>
      <c r="Q77" s="57"/>
      <c r="R77" s="58">
        <f>F78+I78</f>
        <v>1.1918313</v>
      </c>
      <c r="S77" s="636">
        <f>R77+R78</f>
        <v>3.3475401000000007</v>
      </c>
      <c r="T77" s="636">
        <f>E77*S77</f>
        <v>1951.6158783000003</v>
      </c>
      <c r="U77" s="730">
        <f>E77*R78</f>
        <v>1256.7782304000004</v>
      </c>
      <c r="V77" s="11">
        <f t="shared" si="0"/>
        <v>4.4629281874604505</v>
      </c>
      <c r="W77" s="12">
        <f t="shared" si="1"/>
        <v>2601.8871332894428</v>
      </c>
      <c r="X77" s="59"/>
      <c r="Y77" s="103"/>
    </row>
    <row r="78" spans="1:25" ht="24" hidden="1" customHeight="1">
      <c r="A78" s="644"/>
      <c r="B78" s="646"/>
      <c r="C78" s="648"/>
      <c r="D78" s="650"/>
      <c r="E78" s="652"/>
      <c r="F78" s="633">
        <f>F77*$J$13/1000</f>
        <v>0.66361409999999998</v>
      </c>
      <c r="G78" s="634"/>
      <c r="H78" s="635"/>
      <c r="I78" s="633">
        <f>I77*$Q$13/1000</f>
        <v>0.52821720000000005</v>
      </c>
      <c r="J78" s="634"/>
      <c r="K78" s="635"/>
      <c r="L78" s="104" t="s">
        <v>90</v>
      </c>
      <c r="M78" s="63" t="s">
        <v>56</v>
      </c>
      <c r="N78" s="64">
        <v>1</v>
      </c>
      <c r="O78" s="65">
        <f>E77*N78</f>
        <v>583</v>
      </c>
      <c r="P78" s="105">
        <v>1.85</v>
      </c>
      <c r="Q78" s="67">
        <f>N78*P78*$N$11</f>
        <v>2.1557088000000006</v>
      </c>
      <c r="R78" s="68">
        <f>SUM(Q78:Q78)</f>
        <v>2.1557088000000006</v>
      </c>
      <c r="S78" s="637"/>
      <c r="T78" s="637"/>
      <c r="U78" s="732"/>
      <c r="V78" s="11">
        <f t="shared" si="0"/>
        <v>0</v>
      </c>
      <c r="W78" s="12">
        <f t="shared" si="1"/>
        <v>0</v>
      </c>
      <c r="X78" s="59"/>
      <c r="Y78" s="103"/>
    </row>
    <row r="79" spans="1:25" ht="24" customHeight="1">
      <c r="A79" s="643">
        <f t="shared" ref="A79" si="7">+A77+1</f>
        <v>25</v>
      </c>
      <c r="B79" s="645" t="s">
        <v>91</v>
      </c>
      <c r="C79" s="647" t="s">
        <v>225</v>
      </c>
      <c r="D79" s="649" t="s">
        <v>209</v>
      </c>
      <c r="E79" s="651">
        <v>997</v>
      </c>
      <c r="F79" s="633">
        <v>0.25</v>
      </c>
      <c r="G79" s="634"/>
      <c r="H79" s="635"/>
      <c r="I79" s="633">
        <v>0.16</v>
      </c>
      <c r="J79" s="634"/>
      <c r="K79" s="635"/>
      <c r="L79" s="53"/>
      <c r="M79" s="54"/>
      <c r="N79" s="55"/>
      <c r="O79" s="55"/>
      <c r="P79" s="102"/>
      <c r="Q79" s="57"/>
      <c r="R79" s="58">
        <f>F80+I80</f>
        <v>1.1116031</v>
      </c>
      <c r="S79" s="636">
        <f>R79+R80</f>
        <v>2.9620169240000003</v>
      </c>
      <c r="T79" s="636">
        <f>E79*S79</f>
        <v>2953.1308732280004</v>
      </c>
      <c r="U79" s="730">
        <f>E79*R80</f>
        <v>1844.8625825280005</v>
      </c>
      <c r="V79" s="11">
        <f t="shared" si="0"/>
        <v>3.9489501027499259</v>
      </c>
      <c r="W79" s="12">
        <f t="shared" si="1"/>
        <v>3937.103252441676</v>
      </c>
      <c r="X79" s="59"/>
      <c r="Y79" s="103"/>
    </row>
    <row r="80" spans="1:25" ht="24" hidden="1" customHeight="1">
      <c r="A80" s="644"/>
      <c r="B80" s="646"/>
      <c r="C80" s="648"/>
      <c r="D80" s="650"/>
      <c r="E80" s="652"/>
      <c r="F80" s="633">
        <f>F79*$J$13/1000</f>
        <v>0.61445749999999999</v>
      </c>
      <c r="G80" s="634"/>
      <c r="H80" s="635"/>
      <c r="I80" s="633">
        <f>I79*$Q$13/1000</f>
        <v>0.49714560000000002</v>
      </c>
      <c r="J80" s="634"/>
      <c r="K80" s="635"/>
      <c r="L80" s="104" t="s">
        <v>92</v>
      </c>
      <c r="M80" s="63" t="s">
        <v>56</v>
      </c>
      <c r="N80" s="64">
        <v>1</v>
      </c>
      <c r="O80" s="65">
        <f>E79*N80</f>
        <v>997</v>
      </c>
      <c r="P80" s="105">
        <v>1.5880000000000001</v>
      </c>
      <c r="Q80" s="67">
        <f>N80*P80*$N$11</f>
        <v>1.8504138240000005</v>
      </c>
      <c r="R80" s="68">
        <f>SUM(Q80:Q80)</f>
        <v>1.8504138240000005</v>
      </c>
      <c r="S80" s="637"/>
      <c r="T80" s="637"/>
      <c r="U80" s="732"/>
      <c r="V80" s="11">
        <f t="shared" si="0"/>
        <v>0</v>
      </c>
      <c r="W80" s="12">
        <f t="shared" si="1"/>
        <v>0</v>
      </c>
      <c r="X80" s="59"/>
      <c r="Y80" s="103"/>
    </row>
    <row r="81" spans="1:25" ht="24" customHeight="1">
      <c r="A81" s="643">
        <f>+A79+1</f>
        <v>26</v>
      </c>
      <c r="B81" s="645" t="s">
        <v>93</v>
      </c>
      <c r="C81" s="647" t="s">
        <v>226</v>
      </c>
      <c r="D81" s="649" t="s">
        <v>209</v>
      </c>
      <c r="E81" s="690">
        <f>5623+86</f>
        <v>5709</v>
      </c>
      <c r="F81" s="656">
        <f>0.001*5</f>
        <v>5.0000000000000001E-3</v>
      </c>
      <c r="G81" s="657"/>
      <c r="H81" s="658"/>
      <c r="I81" s="633">
        <f>0.001*20</f>
        <v>0.02</v>
      </c>
      <c r="J81" s="634"/>
      <c r="K81" s="635"/>
      <c r="L81" s="107"/>
      <c r="M81" s="54"/>
      <c r="N81" s="55"/>
      <c r="O81" s="55"/>
      <c r="P81" s="55"/>
      <c r="Q81" s="72"/>
      <c r="R81" s="58">
        <f>F82+I82</f>
        <v>7.4432350000000008E-2</v>
      </c>
      <c r="S81" s="636">
        <f>R81+R82</f>
        <v>0.10549320068800001</v>
      </c>
      <c r="T81" s="636">
        <f>E81*S81</f>
        <v>602.26068272779207</v>
      </c>
      <c r="U81" s="638">
        <f>R82*E81</f>
        <v>177.32639657779202</v>
      </c>
      <c r="V81" s="11">
        <f t="shared" si="0"/>
        <v>0.140643148363151</v>
      </c>
      <c r="W81" s="12">
        <f t="shared" si="1"/>
        <v>802.93173400522903</v>
      </c>
      <c r="X81" s="108"/>
      <c r="Y81" s="108"/>
    </row>
    <row r="82" spans="1:25" ht="24" hidden="1" customHeight="1">
      <c r="A82" s="644"/>
      <c r="B82" s="646"/>
      <c r="C82" s="648"/>
      <c r="D82" s="650"/>
      <c r="E82" s="692"/>
      <c r="F82" s="656">
        <f>F81*J$13/1000</f>
        <v>1.2289149999999999E-2</v>
      </c>
      <c r="G82" s="657"/>
      <c r="H82" s="658"/>
      <c r="I82" s="656">
        <f>I81*$Q$13/1000</f>
        <v>6.2143200000000003E-2</v>
      </c>
      <c r="J82" s="657"/>
      <c r="K82" s="658"/>
      <c r="L82" s="109" t="s">
        <v>8</v>
      </c>
      <c r="M82" s="63" t="s">
        <v>96</v>
      </c>
      <c r="N82" s="64">
        <v>1E-3</v>
      </c>
      <c r="O82" s="65">
        <f>E81*N82</f>
        <v>5.7090000000000005</v>
      </c>
      <c r="P82" s="105">
        <v>26.655999999999999</v>
      </c>
      <c r="Q82" s="67">
        <f>N82*P82*$N$11</f>
        <v>3.1060850688000005E-2</v>
      </c>
      <c r="R82" s="68">
        <f>Q82</f>
        <v>3.1060850688000005E-2</v>
      </c>
      <c r="S82" s="637"/>
      <c r="T82" s="637"/>
      <c r="U82" s="639"/>
      <c r="V82" s="11">
        <f t="shared" si="0"/>
        <v>0</v>
      </c>
      <c r="W82" s="12">
        <f t="shared" si="1"/>
        <v>0</v>
      </c>
      <c r="X82" s="108"/>
      <c r="Y82" s="108"/>
    </row>
    <row r="83" spans="1:25" ht="24" customHeight="1">
      <c r="A83" s="643">
        <f>+A81+1</f>
        <v>27</v>
      </c>
      <c r="B83" s="645" t="s">
        <v>97</v>
      </c>
      <c r="C83" s="647" t="s">
        <v>227</v>
      </c>
      <c r="D83" s="649" t="s">
        <v>218</v>
      </c>
      <c r="E83" s="651">
        <v>4</v>
      </c>
      <c r="F83" s="771">
        <v>1.3</v>
      </c>
      <c r="G83" s="772"/>
      <c r="H83" s="773"/>
      <c r="I83" s="771">
        <v>2</v>
      </c>
      <c r="J83" s="772"/>
      <c r="K83" s="773"/>
      <c r="L83" s="107"/>
      <c r="M83" s="54"/>
      <c r="N83" s="55"/>
      <c r="O83" s="55"/>
      <c r="P83" s="55"/>
      <c r="Q83" s="72"/>
      <c r="R83" s="58">
        <f>F84+I84</f>
        <v>9.4094990000000003</v>
      </c>
      <c r="S83" s="636">
        <f>R83+R84</f>
        <v>11.322836216000001</v>
      </c>
      <c r="T83" s="636">
        <f>E83*S83</f>
        <v>45.291344864000003</v>
      </c>
      <c r="U83" s="730">
        <f>+R84*E83</f>
        <v>7.6533488640000016</v>
      </c>
      <c r="V83" s="11">
        <f t="shared" si="0"/>
        <v>15.095563727641208</v>
      </c>
      <c r="W83" s="12">
        <f t="shared" si="1"/>
        <v>60.382254910564832</v>
      </c>
      <c r="X83" s="108"/>
      <c r="Y83" s="108"/>
    </row>
    <row r="84" spans="1:25" ht="24" hidden="1" customHeight="1">
      <c r="A84" s="644"/>
      <c r="B84" s="646"/>
      <c r="C84" s="648"/>
      <c r="D84" s="650"/>
      <c r="E84" s="652"/>
      <c r="F84" s="771">
        <f>F83*J$13/1000</f>
        <v>3.195179</v>
      </c>
      <c r="G84" s="772"/>
      <c r="H84" s="773"/>
      <c r="I84" s="771">
        <f>I83*$Q$13/1000</f>
        <v>6.2143199999999998</v>
      </c>
      <c r="J84" s="772"/>
      <c r="K84" s="773"/>
      <c r="L84" s="109" t="s">
        <v>8</v>
      </c>
      <c r="M84" s="63" t="s">
        <v>80</v>
      </c>
      <c r="N84" s="110">
        <v>1</v>
      </c>
      <c r="O84" s="65">
        <f>E83*N84</f>
        <v>4</v>
      </c>
      <c r="P84" s="105">
        <v>1.6419999999999999</v>
      </c>
      <c r="Q84" s="67">
        <f>N84*P84*$N$11</f>
        <v>1.9133372160000004</v>
      </c>
      <c r="R84" s="111">
        <f>SUM(Q84:Q84)</f>
        <v>1.9133372160000004</v>
      </c>
      <c r="S84" s="637"/>
      <c r="T84" s="637"/>
      <c r="U84" s="732"/>
      <c r="V84" s="11">
        <f t="shared" si="0"/>
        <v>0</v>
      </c>
      <c r="W84" s="12">
        <f t="shared" si="1"/>
        <v>0</v>
      </c>
      <c r="X84" s="108"/>
      <c r="Y84" s="108"/>
    </row>
    <row r="85" spans="1:25" ht="24" customHeight="1">
      <c r="A85" s="643">
        <f>+A83+1</f>
        <v>28</v>
      </c>
      <c r="B85" s="541" t="s">
        <v>99</v>
      </c>
      <c r="C85" s="770" t="s">
        <v>228</v>
      </c>
      <c r="D85" s="649" t="s">
        <v>229</v>
      </c>
      <c r="E85" s="690">
        <f>1850+800</f>
        <v>2650</v>
      </c>
      <c r="F85" s="656">
        <f>4.1/100</f>
        <v>4.0999999999999995E-2</v>
      </c>
      <c r="G85" s="657"/>
      <c r="H85" s="658"/>
      <c r="I85" s="656">
        <f>0.4/100</f>
        <v>4.0000000000000001E-3</v>
      </c>
      <c r="J85" s="657"/>
      <c r="K85" s="658"/>
      <c r="L85" s="112"/>
      <c r="M85" s="54"/>
      <c r="N85" s="55"/>
      <c r="O85" s="55"/>
      <c r="P85" s="55"/>
      <c r="Q85" s="72"/>
      <c r="R85" s="58">
        <f>F86+I86</f>
        <v>0.11319966999999999</v>
      </c>
      <c r="S85" s="636">
        <f>R85+R86</f>
        <v>0.21292763586666669</v>
      </c>
      <c r="T85" s="636">
        <f>E85*S85</f>
        <v>564.25823504666675</v>
      </c>
      <c r="U85" s="765">
        <f>R86*E85</f>
        <v>264.27910954666669</v>
      </c>
      <c r="V85" s="11">
        <f t="shared" ref="V85:V148" si="8">+$V$14*S85</f>
        <v>0.28387434343166235</v>
      </c>
      <c r="W85" s="12">
        <f t="shared" ref="W85:W148" si="9">+V85*E85</f>
        <v>752.26701009390524</v>
      </c>
      <c r="X85" s="103"/>
      <c r="Y85" s="113"/>
    </row>
    <row r="86" spans="1:25" ht="24" hidden="1" customHeight="1">
      <c r="A86" s="686"/>
      <c r="B86" s="541"/>
      <c r="C86" s="770"/>
      <c r="D86" s="753"/>
      <c r="E86" s="691"/>
      <c r="F86" s="680">
        <f>F85*J$13/1000</f>
        <v>0.10077102999999998</v>
      </c>
      <c r="G86" s="681"/>
      <c r="H86" s="682"/>
      <c r="I86" s="680">
        <f>I85*$Q$13/1000</f>
        <v>1.2428639999999999E-2</v>
      </c>
      <c r="J86" s="681"/>
      <c r="K86" s="682"/>
      <c r="L86" s="114" t="s">
        <v>102</v>
      </c>
      <c r="M86" s="74" t="s">
        <v>61</v>
      </c>
      <c r="N86" s="115">
        <v>0.03</v>
      </c>
      <c r="O86" s="116">
        <f>E85*N86</f>
        <v>79.5</v>
      </c>
      <c r="P86" s="117">
        <f>0.542*2</f>
        <v>1.0840000000000001</v>
      </c>
      <c r="Q86" s="40">
        <f>N86*P86*$N$11</f>
        <v>3.7893864960000009E-2</v>
      </c>
      <c r="R86" s="636">
        <f>SUM(Q86:Q87)</f>
        <v>9.9727965866666685E-2</v>
      </c>
      <c r="S86" s="678"/>
      <c r="T86" s="678"/>
      <c r="U86" s="765"/>
      <c r="V86" s="11">
        <f t="shared" si="8"/>
        <v>0</v>
      </c>
      <c r="W86" s="12">
        <f t="shared" si="9"/>
        <v>0</v>
      </c>
      <c r="X86" s="103"/>
      <c r="Y86" s="113"/>
    </row>
    <row r="87" spans="1:25" ht="24" hidden="1" customHeight="1">
      <c r="A87" s="644"/>
      <c r="B87" s="541"/>
      <c r="C87" s="770"/>
      <c r="D87" s="650"/>
      <c r="E87" s="692"/>
      <c r="F87" s="674"/>
      <c r="G87" s="675"/>
      <c r="H87" s="676"/>
      <c r="I87" s="674"/>
      <c r="J87" s="675"/>
      <c r="K87" s="676"/>
      <c r="L87" s="118" t="s">
        <v>103</v>
      </c>
      <c r="M87" s="99" t="s">
        <v>61</v>
      </c>
      <c r="N87" s="119">
        <f>17.2/100</f>
        <v>0.17199999999999999</v>
      </c>
      <c r="O87" s="88">
        <f>E85*N87</f>
        <v>455.79999999999995</v>
      </c>
      <c r="P87" s="120">
        <f>0.833/2.7</f>
        <v>0.30851851851851847</v>
      </c>
      <c r="Q87" s="121">
        <f>N87*P87*$N$11</f>
        <v>6.1834100906666668E-2</v>
      </c>
      <c r="R87" s="637"/>
      <c r="S87" s="637"/>
      <c r="T87" s="637"/>
      <c r="U87" s="765"/>
      <c r="V87" s="11">
        <f t="shared" si="8"/>
        <v>0</v>
      </c>
      <c r="W87" s="12">
        <f t="shared" si="9"/>
        <v>0</v>
      </c>
      <c r="X87" s="103"/>
      <c r="Y87" s="113"/>
    </row>
    <row r="88" spans="1:25" ht="24" customHeight="1">
      <c r="A88" s="760">
        <f>+A85+1</f>
        <v>29</v>
      </c>
      <c r="B88" s="645" t="s">
        <v>104</v>
      </c>
      <c r="C88" s="766" t="s">
        <v>230</v>
      </c>
      <c r="D88" s="768" t="s">
        <v>231</v>
      </c>
      <c r="E88" s="690">
        <f>+E85</f>
        <v>2650</v>
      </c>
      <c r="F88" s="656">
        <f>21.4/100</f>
        <v>0.214</v>
      </c>
      <c r="G88" s="657"/>
      <c r="H88" s="658"/>
      <c r="I88" s="762">
        <f>0.03/100</f>
        <v>2.9999999999999997E-4</v>
      </c>
      <c r="J88" s="763"/>
      <c r="K88" s="764"/>
      <c r="L88" s="112"/>
      <c r="M88" s="54"/>
      <c r="N88" s="55"/>
      <c r="O88" s="55"/>
      <c r="P88" s="55"/>
      <c r="Q88" s="72"/>
      <c r="R88" s="58">
        <f>F89+I89</f>
        <v>0.52690776799999994</v>
      </c>
      <c r="S88" s="636">
        <f>R88+R89</f>
        <v>0.92454864800000003</v>
      </c>
      <c r="T88" s="636">
        <f>E88*S88</f>
        <v>2450.0539171999999</v>
      </c>
      <c r="U88" s="765">
        <f>R89*E88</f>
        <v>1053.7483320000003</v>
      </c>
      <c r="V88" s="11">
        <f t="shared" si="8"/>
        <v>1.2326048676273211</v>
      </c>
      <c r="W88" s="12">
        <f t="shared" si="9"/>
        <v>3266.4028992124008</v>
      </c>
      <c r="X88" s="103"/>
      <c r="Y88" s="113"/>
    </row>
    <row r="89" spans="1:25" ht="24" hidden="1" customHeight="1">
      <c r="A89" s="761"/>
      <c r="B89" s="646"/>
      <c r="C89" s="767"/>
      <c r="D89" s="769"/>
      <c r="E89" s="692"/>
      <c r="F89" s="633">
        <f>F88*J$13/1000</f>
        <v>0.52597561999999998</v>
      </c>
      <c r="G89" s="634"/>
      <c r="H89" s="635"/>
      <c r="I89" s="762">
        <f>I88*$Q$13/1000</f>
        <v>9.3214799999999983E-4</v>
      </c>
      <c r="J89" s="763"/>
      <c r="K89" s="764"/>
      <c r="L89" s="109" t="s">
        <v>106</v>
      </c>
      <c r="M89" s="63" t="s">
        <v>61</v>
      </c>
      <c r="N89" s="105">
        <f>27.3/100</f>
        <v>0.27300000000000002</v>
      </c>
      <c r="O89" s="116">
        <f>E88*N89</f>
        <v>723.45</v>
      </c>
      <c r="P89" s="105">
        <v>1.25</v>
      </c>
      <c r="Q89" s="67">
        <f>N89*P89*$N$11</f>
        <v>0.39764088000000014</v>
      </c>
      <c r="R89" s="68">
        <f>SUM(Q89:Q89)</f>
        <v>0.39764088000000014</v>
      </c>
      <c r="S89" s="637"/>
      <c r="T89" s="637"/>
      <c r="U89" s="765"/>
      <c r="V89" s="11">
        <f t="shared" si="8"/>
        <v>0</v>
      </c>
      <c r="W89" s="12">
        <f t="shared" si="9"/>
        <v>0</v>
      </c>
      <c r="X89" s="103"/>
      <c r="Y89" s="113"/>
    </row>
    <row r="90" spans="1:25" ht="24" customHeight="1">
      <c r="A90" s="760">
        <f>+A88+1</f>
        <v>30</v>
      </c>
      <c r="B90" s="645" t="s">
        <v>107</v>
      </c>
      <c r="C90" s="647" t="s">
        <v>232</v>
      </c>
      <c r="D90" s="649" t="s">
        <v>233</v>
      </c>
      <c r="E90" s="690">
        <f>30+481.9+53.2+280+108+31+30+24+8.8+5.8+32.2+9.2+1.5+9.6+7.8+5.2+7.2+3.6+6.3+6+0.8+0.4+2.4</f>
        <v>1144.8999999999999</v>
      </c>
      <c r="F90" s="757">
        <f>0.001*190</f>
        <v>0.19</v>
      </c>
      <c r="G90" s="758"/>
      <c r="H90" s="759"/>
      <c r="I90" s="757">
        <f>0.001*162</f>
        <v>0.16200000000000001</v>
      </c>
      <c r="J90" s="758"/>
      <c r="K90" s="759"/>
      <c r="L90" s="107"/>
      <c r="M90" s="54"/>
      <c r="N90" s="55"/>
      <c r="O90" s="55"/>
      <c r="P90" s="55"/>
      <c r="Q90" s="72"/>
      <c r="R90" s="58">
        <f>F91+I91</f>
        <v>0.97034761999999997</v>
      </c>
      <c r="S90" s="636">
        <f>R90+R91</f>
        <v>2.3686452200000003</v>
      </c>
      <c r="T90" s="636">
        <f>E90*S90</f>
        <v>2711.8619123779999</v>
      </c>
      <c r="U90" s="638">
        <f>R91*E90</f>
        <v>1600.91092224</v>
      </c>
      <c r="V90" s="11">
        <f t="shared" si="8"/>
        <v>3.1578691225928734</v>
      </c>
      <c r="W90" s="12">
        <f t="shared" si="9"/>
        <v>3615.4443584565802</v>
      </c>
      <c r="X90" s="103"/>
      <c r="Y90" s="113"/>
    </row>
    <row r="91" spans="1:25" ht="24" hidden="1" customHeight="1">
      <c r="A91" s="761"/>
      <c r="B91" s="646"/>
      <c r="C91" s="648"/>
      <c r="D91" s="650"/>
      <c r="E91" s="692"/>
      <c r="F91" s="633">
        <f>F90*J$13/1000</f>
        <v>0.46698770000000001</v>
      </c>
      <c r="G91" s="634"/>
      <c r="H91" s="635"/>
      <c r="I91" s="633">
        <f>I90*$Q$13/1000</f>
        <v>0.50335991999999996</v>
      </c>
      <c r="J91" s="634"/>
      <c r="K91" s="635"/>
      <c r="L91" s="109" t="s">
        <v>109</v>
      </c>
      <c r="M91" s="63" t="s">
        <v>61</v>
      </c>
      <c r="N91" s="110">
        <v>1</v>
      </c>
      <c r="O91" s="65">
        <f>E90*N91</f>
        <v>1144.8999999999999</v>
      </c>
      <c r="P91" s="105">
        <v>1.2</v>
      </c>
      <c r="Q91" s="67">
        <f>N91*P91*$N$11</f>
        <v>1.3982976000000003</v>
      </c>
      <c r="R91" s="58">
        <f>SUM(Q91:Q91)</f>
        <v>1.3982976000000003</v>
      </c>
      <c r="S91" s="637"/>
      <c r="T91" s="637"/>
      <c r="U91" s="639"/>
      <c r="V91" s="11">
        <f t="shared" si="8"/>
        <v>0</v>
      </c>
      <c r="W91" s="12">
        <f t="shared" si="9"/>
        <v>0</v>
      </c>
      <c r="X91" s="103"/>
      <c r="Y91" s="113"/>
    </row>
    <row r="92" spans="1:25" ht="24" customHeight="1">
      <c r="A92" s="643">
        <f>+A90+1</f>
        <v>31</v>
      </c>
      <c r="B92" s="645" t="s">
        <v>110</v>
      </c>
      <c r="C92" s="750" t="s">
        <v>234</v>
      </c>
      <c r="D92" s="649" t="s">
        <v>233</v>
      </c>
      <c r="E92" s="754">
        <f>113.9+113.4+222.4+546+325.8+93.5+91.8+88.8+82.6</f>
        <v>1678.1999999999998</v>
      </c>
      <c r="F92" s="693">
        <f>0.001*14.8</f>
        <v>1.4800000000000001E-2</v>
      </c>
      <c r="G92" s="694"/>
      <c r="H92" s="695"/>
      <c r="I92" s="747">
        <f>0.001*4.98</f>
        <v>4.9800000000000009E-3</v>
      </c>
      <c r="J92" s="748"/>
      <c r="K92" s="749"/>
      <c r="L92" s="122"/>
      <c r="M92" s="54"/>
      <c r="N92" s="70"/>
      <c r="O92" s="55"/>
      <c r="P92" s="55"/>
      <c r="Q92" s="72"/>
      <c r="R92" s="123">
        <f>F93+I93</f>
        <v>5.1849540799999996E-2</v>
      </c>
      <c r="S92" s="582">
        <f>R92+R93</f>
        <v>0.70159182560000022</v>
      </c>
      <c r="T92" s="582">
        <f>E92*S92</f>
        <v>1177.4114017219201</v>
      </c>
      <c r="U92" s="717">
        <f>R93*E92</f>
        <v>1090.3975023513601</v>
      </c>
      <c r="V92" s="11">
        <f t="shared" si="8"/>
        <v>0.93535964948174244</v>
      </c>
      <c r="W92" s="12">
        <f t="shared" si="9"/>
        <v>1569.7205637602599</v>
      </c>
      <c r="X92" s="124"/>
      <c r="Y92" s="103"/>
    </row>
    <row r="93" spans="1:25" ht="24" hidden="1" customHeight="1">
      <c r="A93" s="686"/>
      <c r="B93" s="687"/>
      <c r="C93" s="751"/>
      <c r="D93" s="753"/>
      <c r="E93" s="755"/>
      <c r="F93" s="582">
        <f>F92*J$13/1000</f>
        <v>3.6375883999999997E-2</v>
      </c>
      <c r="G93" s="582"/>
      <c r="H93" s="582"/>
      <c r="I93" s="582">
        <f>I92*$Q$13/1000</f>
        <v>1.5473656800000003E-2</v>
      </c>
      <c r="J93" s="582"/>
      <c r="K93" s="582"/>
      <c r="L93" s="95" t="s">
        <v>112</v>
      </c>
      <c r="M93" s="74" t="s">
        <v>61</v>
      </c>
      <c r="N93" s="96">
        <v>1</v>
      </c>
      <c r="O93" s="76">
        <f>E92*N93</f>
        <v>1678.1999999999998</v>
      </c>
      <c r="P93" s="97">
        <v>0.55000000000000004</v>
      </c>
      <c r="Q93" s="78">
        <f>N93*P93*$N$11</f>
        <v>0.64088640000000019</v>
      </c>
      <c r="R93" s="582">
        <f>SUM(Q93:Q95)</f>
        <v>0.64974228480000018</v>
      </c>
      <c r="S93" s="582"/>
      <c r="T93" s="582"/>
      <c r="U93" s="717"/>
      <c r="V93" s="11">
        <f t="shared" si="8"/>
        <v>0</v>
      </c>
      <c r="W93" s="12">
        <f t="shared" si="9"/>
        <v>0</v>
      </c>
      <c r="X93" s="124"/>
      <c r="Y93" s="103"/>
    </row>
    <row r="94" spans="1:25" ht="24" hidden="1" customHeight="1">
      <c r="A94" s="686"/>
      <c r="B94" s="687"/>
      <c r="C94" s="751"/>
      <c r="D94" s="753"/>
      <c r="E94" s="755"/>
      <c r="F94" s="582"/>
      <c r="G94" s="582"/>
      <c r="H94" s="582"/>
      <c r="I94" s="582"/>
      <c r="J94" s="582"/>
      <c r="K94" s="582"/>
      <c r="L94" s="125" t="s">
        <v>113</v>
      </c>
      <c r="M94" s="126" t="s">
        <v>61</v>
      </c>
      <c r="N94" s="127">
        <v>4.0000000000000001E-3</v>
      </c>
      <c r="O94" s="82">
        <f>E92*N94</f>
        <v>6.7127999999999997</v>
      </c>
      <c r="P94" s="128">
        <v>0.9</v>
      </c>
      <c r="Q94" s="129">
        <f t="shared" ref="Q94:Q95" si="10">N94*P94*$N$11</f>
        <v>4.1948928000000016E-3</v>
      </c>
      <c r="R94" s="582"/>
      <c r="S94" s="582"/>
      <c r="T94" s="582"/>
      <c r="U94" s="717"/>
      <c r="V94" s="11">
        <f t="shared" si="8"/>
        <v>0</v>
      </c>
      <c r="W94" s="12">
        <f t="shared" si="9"/>
        <v>0</v>
      </c>
      <c r="X94" s="124"/>
      <c r="Y94" s="103"/>
    </row>
    <row r="95" spans="1:25" ht="24" hidden="1" customHeight="1">
      <c r="A95" s="644"/>
      <c r="B95" s="646"/>
      <c r="C95" s="752"/>
      <c r="D95" s="650"/>
      <c r="E95" s="756"/>
      <c r="F95" s="582"/>
      <c r="G95" s="582"/>
      <c r="H95" s="582"/>
      <c r="I95" s="582"/>
      <c r="J95" s="582"/>
      <c r="K95" s="582"/>
      <c r="L95" s="130" t="s">
        <v>114</v>
      </c>
      <c r="M95" s="99" t="s">
        <v>61</v>
      </c>
      <c r="N95" s="100">
        <v>4.0000000000000001E-3</v>
      </c>
      <c r="O95" s="88">
        <f>E92*N95</f>
        <v>6.7127999999999997</v>
      </c>
      <c r="P95" s="131">
        <v>1</v>
      </c>
      <c r="Q95" s="90">
        <f t="shared" si="10"/>
        <v>4.660992000000001E-3</v>
      </c>
      <c r="R95" s="582"/>
      <c r="S95" s="582"/>
      <c r="T95" s="582"/>
      <c r="U95" s="717"/>
      <c r="V95" s="11">
        <f t="shared" si="8"/>
        <v>0</v>
      </c>
      <c r="W95" s="12">
        <f t="shared" si="9"/>
        <v>0</v>
      </c>
      <c r="X95" s="124"/>
      <c r="Y95" s="103"/>
    </row>
    <row r="96" spans="1:25" ht="24" customHeight="1">
      <c r="A96" s="662">
        <f>+A92+1</f>
        <v>32</v>
      </c>
      <c r="B96" s="536" t="s">
        <v>115</v>
      </c>
      <c r="C96" s="666" t="s">
        <v>235</v>
      </c>
      <c r="D96" s="667" t="s">
        <v>197</v>
      </c>
      <c r="E96" s="745">
        <v>44.7</v>
      </c>
      <c r="F96" s="552">
        <f>205/100</f>
        <v>2.0499999999999998</v>
      </c>
      <c r="G96" s="552"/>
      <c r="H96" s="552"/>
      <c r="I96" s="587">
        <v>0</v>
      </c>
      <c r="J96" s="587"/>
      <c r="K96" s="587"/>
      <c r="L96" s="132"/>
      <c r="M96" s="17"/>
      <c r="N96" s="17"/>
      <c r="O96" s="17"/>
      <c r="P96" s="17"/>
      <c r="Q96" s="26"/>
      <c r="R96" s="600">
        <f>F97+I97</f>
        <v>5.0385514999999996</v>
      </c>
      <c r="S96" s="600">
        <f>R96+R97</f>
        <v>5.0385514999999996</v>
      </c>
      <c r="T96" s="600">
        <f>E96*S96</f>
        <v>225.22325204999999</v>
      </c>
      <c r="U96" s="739"/>
      <c r="V96" s="11">
        <f t="shared" si="8"/>
        <v>6.7173783857947296</v>
      </c>
      <c r="W96" s="12">
        <f t="shared" si="9"/>
        <v>300.26681384502444</v>
      </c>
      <c r="X96" s="27"/>
      <c r="Y96" s="133"/>
    </row>
    <row r="97" spans="1:25" ht="24" hidden="1" customHeight="1">
      <c r="A97" s="663"/>
      <c r="B97" s="537"/>
      <c r="C97" s="666"/>
      <c r="D97" s="667"/>
      <c r="E97" s="746"/>
      <c r="F97" s="550">
        <f>F96*$J$13/1000</f>
        <v>5.0385514999999996</v>
      </c>
      <c r="G97" s="550"/>
      <c r="H97" s="550"/>
      <c r="I97" s="587">
        <f>I96*$Q$13/1000</f>
        <v>0</v>
      </c>
      <c r="J97" s="587"/>
      <c r="K97" s="587"/>
      <c r="L97" s="135"/>
      <c r="M97" s="23"/>
      <c r="N97" s="23"/>
      <c r="O97" s="23"/>
      <c r="P97" s="23"/>
      <c r="Q97" s="29"/>
      <c r="R97" s="601"/>
      <c r="S97" s="601"/>
      <c r="T97" s="601"/>
      <c r="U97" s="740"/>
      <c r="V97" s="11">
        <f t="shared" si="8"/>
        <v>0</v>
      </c>
      <c r="W97" s="12">
        <f t="shared" si="9"/>
        <v>0</v>
      </c>
      <c r="X97" s="27"/>
      <c r="Y97" s="133"/>
    </row>
    <row r="98" spans="1:25" ht="24" customHeight="1">
      <c r="A98" s="662">
        <f>+A96+1</f>
        <v>33</v>
      </c>
      <c r="B98" s="536" t="s">
        <v>117</v>
      </c>
      <c r="C98" s="666" t="s">
        <v>236</v>
      </c>
      <c r="D98" s="667" t="s">
        <v>197</v>
      </c>
      <c r="E98" s="745">
        <v>104</v>
      </c>
      <c r="F98" s="550">
        <v>3.68</v>
      </c>
      <c r="G98" s="550"/>
      <c r="H98" s="550"/>
      <c r="I98" s="587">
        <v>0</v>
      </c>
      <c r="J98" s="587"/>
      <c r="K98" s="587"/>
      <c r="L98" s="132"/>
      <c r="M98" s="17"/>
      <c r="N98" s="17"/>
      <c r="O98" s="17"/>
      <c r="P98" s="17"/>
      <c r="Q98" s="26"/>
      <c r="R98" s="600">
        <f>F99+I99</f>
        <v>9.0448143999999999</v>
      </c>
      <c r="S98" s="600">
        <f>R98+R99</f>
        <v>9.0448143999999999</v>
      </c>
      <c r="T98" s="600">
        <f>E98*S98</f>
        <v>940.66069760000005</v>
      </c>
      <c r="U98" s="739"/>
      <c r="V98" s="11">
        <f t="shared" si="8"/>
        <v>12.058513394987614</v>
      </c>
      <c r="W98" s="12">
        <f t="shared" si="9"/>
        <v>1254.0853930787118</v>
      </c>
      <c r="X98" s="27"/>
      <c r="Y98" s="133"/>
    </row>
    <row r="99" spans="1:25" ht="24" hidden="1" customHeight="1">
      <c r="A99" s="663"/>
      <c r="B99" s="537"/>
      <c r="C99" s="666"/>
      <c r="D99" s="667"/>
      <c r="E99" s="746"/>
      <c r="F99" s="550">
        <f>F98*$J$13/1000</f>
        <v>9.0448143999999999</v>
      </c>
      <c r="G99" s="550"/>
      <c r="H99" s="550"/>
      <c r="I99" s="587">
        <f>I98*$Q$13/1000</f>
        <v>0</v>
      </c>
      <c r="J99" s="587"/>
      <c r="K99" s="587"/>
      <c r="L99" s="135"/>
      <c r="M99" s="23"/>
      <c r="N99" s="23"/>
      <c r="O99" s="23"/>
      <c r="P99" s="23"/>
      <c r="Q99" s="29"/>
      <c r="R99" s="601"/>
      <c r="S99" s="601"/>
      <c r="T99" s="601"/>
      <c r="U99" s="740"/>
      <c r="V99" s="11">
        <f t="shared" si="8"/>
        <v>0</v>
      </c>
      <c r="W99" s="12">
        <f t="shared" si="9"/>
        <v>0</v>
      </c>
      <c r="X99" s="27"/>
      <c r="Y99" s="133"/>
    </row>
    <row r="100" spans="1:25" ht="24" customHeight="1">
      <c r="A100" s="662">
        <f>+A98+1</f>
        <v>34</v>
      </c>
      <c r="B100" s="536" t="s">
        <v>42</v>
      </c>
      <c r="C100" s="741" t="s">
        <v>237</v>
      </c>
      <c r="D100" s="743" t="s">
        <v>197</v>
      </c>
      <c r="E100" s="745">
        <v>27.5</v>
      </c>
      <c r="F100" s="550">
        <f>0.01*327</f>
        <v>3.27</v>
      </c>
      <c r="G100" s="550"/>
      <c r="H100" s="550"/>
      <c r="I100" s="550">
        <f>0.01*381</f>
        <v>3.81</v>
      </c>
      <c r="J100" s="550"/>
      <c r="K100" s="550"/>
      <c r="L100" s="132"/>
      <c r="M100" s="17"/>
      <c r="N100" s="17"/>
      <c r="O100" s="17"/>
      <c r="P100" s="17"/>
      <c r="Q100" s="26"/>
      <c r="R100" s="600">
        <f>F101+I101</f>
        <v>19.8753837</v>
      </c>
      <c r="S100" s="600">
        <f>R100+R101</f>
        <v>19.8753837</v>
      </c>
      <c r="T100" s="600">
        <f>E100*S100</f>
        <v>546.57305174999999</v>
      </c>
      <c r="U100" s="739"/>
      <c r="V100" s="11">
        <f t="shared" si="8"/>
        <v>26.497788675129527</v>
      </c>
      <c r="W100" s="12">
        <f t="shared" si="9"/>
        <v>728.68918856606206</v>
      </c>
      <c r="X100" s="27"/>
      <c r="Y100" s="133"/>
    </row>
    <row r="101" spans="1:25" ht="24" hidden="1" customHeight="1">
      <c r="A101" s="663"/>
      <c r="B101" s="537"/>
      <c r="C101" s="742"/>
      <c r="D101" s="744"/>
      <c r="E101" s="746"/>
      <c r="F101" s="550">
        <f>F100*$J$13/1000</f>
        <v>8.0371040999999988</v>
      </c>
      <c r="G101" s="550"/>
      <c r="H101" s="550"/>
      <c r="I101" s="550">
        <f>I100*$Q$13/1000</f>
        <v>11.8382796</v>
      </c>
      <c r="J101" s="550"/>
      <c r="K101" s="550"/>
      <c r="L101" s="135"/>
      <c r="M101" s="23"/>
      <c r="N101" s="23"/>
      <c r="O101" s="23"/>
      <c r="P101" s="23"/>
      <c r="Q101" s="29"/>
      <c r="R101" s="601"/>
      <c r="S101" s="601"/>
      <c r="T101" s="601"/>
      <c r="U101" s="740"/>
      <c r="V101" s="11">
        <f t="shared" si="8"/>
        <v>0</v>
      </c>
      <c r="W101" s="12">
        <f t="shared" si="9"/>
        <v>0</v>
      </c>
      <c r="X101" s="27"/>
      <c r="Y101" s="133"/>
    </row>
    <row r="102" spans="1:25" ht="24" customHeight="1">
      <c r="A102" s="643">
        <f>+A100+1</f>
        <v>35</v>
      </c>
      <c r="B102" s="645" t="s">
        <v>120</v>
      </c>
      <c r="C102" s="733" t="s">
        <v>238</v>
      </c>
      <c r="D102" s="736" t="s">
        <v>197</v>
      </c>
      <c r="E102" s="690">
        <v>176.2</v>
      </c>
      <c r="F102" s="656">
        <v>2.78</v>
      </c>
      <c r="G102" s="657"/>
      <c r="H102" s="658"/>
      <c r="I102" s="656">
        <v>0.34</v>
      </c>
      <c r="J102" s="657"/>
      <c r="K102" s="658"/>
      <c r="L102" s="122"/>
      <c r="M102" s="54"/>
      <c r="N102" s="70"/>
      <c r="O102" s="55"/>
      <c r="P102" s="55"/>
      <c r="Q102" s="72"/>
      <c r="R102" s="58">
        <f>F103+I103</f>
        <v>7.8892018000000004</v>
      </c>
      <c r="S102" s="636">
        <f>R102+R103</f>
        <v>45.856914352000018</v>
      </c>
      <c r="T102" s="636">
        <f>E102*S102</f>
        <v>8079.9883088224024</v>
      </c>
      <c r="U102" s="730">
        <f>E102*R103</f>
        <v>6689.9109516624021</v>
      </c>
      <c r="V102" s="11">
        <f t="shared" si="8"/>
        <v>61.136270078288391</v>
      </c>
      <c r="W102" s="12">
        <f t="shared" si="9"/>
        <v>10772.210787794415</v>
      </c>
      <c r="X102" s="106"/>
      <c r="Y102" s="106"/>
    </row>
    <row r="103" spans="1:25" ht="24" hidden="1" customHeight="1">
      <c r="A103" s="686"/>
      <c r="B103" s="687"/>
      <c r="C103" s="734"/>
      <c r="D103" s="737"/>
      <c r="E103" s="691"/>
      <c r="F103" s="680">
        <f>F102*$J$13/1000</f>
        <v>6.8327673999999998</v>
      </c>
      <c r="G103" s="681"/>
      <c r="H103" s="682"/>
      <c r="I103" s="680">
        <f>I102*$Q$13/1000</f>
        <v>1.0564344000000001</v>
      </c>
      <c r="J103" s="681"/>
      <c r="K103" s="682"/>
      <c r="L103" s="95" t="s">
        <v>122</v>
      </c>
      <c r="M103" s="74" t="s">
        <v>123</v>
      </c>
      <c r="N103" s="96">
        <v>1.02</v>
      </c>
      <c r="O103" s="76">
        <f>E102*N103</f>
        <v>179.72399999999999</v>
      </c>
      <c r="P103" s="128">
        <v>26.5</v>
      </c>
      <c r="Q103" s="78">
        <f>N103*P103*$N$11</f>
        <v>31.49665344000001</v>
      </c>
      <c r="R103" s="636">
        <f>SUM(Q103:Q105)</f>
        <v>37.967712552000016</v>
      </c>
      <c r="S103" s="678"/>
      <c r="T103" s="678"/>
      <c r="U103" s="731"/>
      <c r="V103" s="11">
        <f t="shared" si="8"/>
        <v>0</v>
      </c>
      <c r="W103" s="12">
        <f t="shared" si="9"/>
        <v>0</v>
      </c>
      <c r="X103" s="106"/>
      <c r="Y103" s="106"/>
    </row>
    <row r="104" spans="1:25" ht="24" hidden="1" customHeight="1">
      <c r="A104" s="686"/>
      <c r="B104" s="687"/>
      <c r="C104" s="734"/>
      <c r="D104" s="737"/>
      <c r="E104" s="691"/>
      <c r="F104" s="683"/>
      <c r="G104" s="684"/>
      <c r="H104" s="685"/>
      <c r="I104" s="683"/>
      <c r="J104" s="684"/>
      <c r="K104" s="685"/>
      <c r="L104" s="125" t="s">
        <v>124</v>
      </c>
      <c r="M104" s="126" t="s">
        <v>125</v>
      </c>
      <c r="N104" s="127">
        <v>1.17</v>
      </c>
      <c r="O104" s="82">
        <f>E102*N104</f>
        <v>206.15399999999997</v>
      </c>
      <c r="P104" s="128">
        <v>3.5</v>
      </c>
      <c r="Q104" s="84">
        <f>N104*P104*$N$11</f>
        <v>4.7716905600000006</v>
      </c>
      <c r="R104" s="678"/>
      <c r="S104" s="678"/>
      <c r="T104" s="678"/>
      <c r="U104" s="731"/>
      <c r="V104" s="11">
        <f t="shared" si="8"/>
        <v>0</v>
      </c>
      <c r="W104" s="12">
        <f t="shared" si="9"/>
        <v>0</v>
      </c>
      <c r="X104" s="106"/>
      <c r="Y104" s="106"/>
    </row>
    <row r="105" spans="1:25" ht="24" hidden="1" customHeight="1">
      <c r="A105" s="644"/>
      <c r="B105" s="646"/>
      <c r="C105" s="735"/>
      <c r="D105" s="738"/>
      <c r="E105" s="692"/>
      <c r="F105" s="674"/>
      <c r="G105" s="675"/>
      <c r="H105" s="676"/>
      <c r="I105" s="674"/>
      <c r="J105" s="675"/>
      <c r="K105" s="676"/>
      <c r="L105" s="130" t="s">
        <v>126</v>
      </c>
      <c r="M105" s="99" t="s">
        <v>123</v>
      </c>
      <c r="N105" s="100">
        <v>1.2500000000000001E-2</v>
      </c>
      <c r="O105" s="88">
        <f>E102*N105</f>
        <v>2.2025000000000001</v>
      </c>
      <c r="P105" s="136">
        <v>116.67</v>
      </c>
      <c r="Q105" s="90">
        <f>N105*P105*$N$11</f>
        <v>1.6993685520000006</v>
      </c>
      <c r="R105" s="637"/>
      <c r="S105" s="637"/>
      <c r="T105" s="637"/>
      <c r="U105" s="732"/>
      <c r="V105" s="11">
        <f t="shared" si="8"/>
        <v>0</v>
      </c>
      <c r="W105" s="12">
        <f t="shared" si="9"/>
        <v>0</v>
      </c>
      <c r="X105" s="106"/>
      <c r="Y105" s="106"/>
    </row>
    <row r="106" spans="1:25" ht="24" customHeight="1">
      <c r="A106" s="662">
        <f>+A102+1</f>
        <v>36</v>
      </c>
      <c r="B106" s="536" t="s">
        <v>127</v>
      </c>
      <c r="C106" s="725" t="s">
        <v>239</v>
      </c>
      <c r="D106" s="727" t="s">
        <v>203</v>
      </c>
      <c r="E106" s="728">
        <v>440.5</v>
      </c>
      <c r="F106" s="604">
        <v>0.4</v>
      </c>
      <c r="G106" s="605"/>
      <c r="H106" s="606"/>
      <c r="I106" s="604">
        <v>0.39</v>
      </c>
      <c r="J106" s="605"/>
      <c r="K106" s="606"/>
      <c r="L106" s="137"/>
      <c r="M106" s="138"/>
      <c r="N106" s="139"/>
      <c r="O106" s="139"/>
      <c r="P106" s="140"/>
      <c r="Q106" s="141"/>
      <c r="R106" s="696">
        <f>F107+I107</f>
        <v>2.1949244000000001</v>
      </c>
      <c r="S106" s="696">
        <f>R106+R107</f>
        <v>2.1949244000000001</v>
      </c>
      <c r="T106" s="696">
        <f>E106*S106</f>
        <v>966.86419820000003</v>
      </c>
      <c r="U106" s="720"/>
      <c r="V106" s="11">
        <f t="shared" si="8"/>
        <v>2.9262651623216449</v>
      </c>
      <c r="W106" s="12">
        <f t="shared" si="9"/>
        <v>1289.0198040026846</v>
      </c>
      <c r="X106" s="142"/>
      <c r="Y106" s="142"/>
    </row>
    <row r="107" spans="1:25" ht="24" hidden="1" customHeight="1">
      <c r="A107" s="663"/>
      <c r="B107" s="537"/>
      <c r="C107" s="726"/>
      <c r="D107" s="727"/>
      <c r="E107" s="729"/>
      <c r="F107" s="722">
        <f>F106*$J$13/1000</f>
        <v>0.98313200000000012</v>
      </c>
      <c r="G107" s="723"/>
      <c r="H107" s="724"/>
      <c r="I107" s="550">
        <f>I106*$Q$13/1000</f>
        <v>1.2117924</v>
      </c>
      <c r="J107" s="550"/>
      <c r="K107" s="550"/>
      <c r="L107" s="143"/>
      <c r="M107" s="144"/>
      <c r="N107" s="145"/>
      <c r="O107" s="145"/>
      <c r="P107" s="146"/>
      <c r="Q107" s="147"/>
      <c r="R107" s="697"/>
      <c r="S107" s="697"/>
      <c r="T107" s="697"/>
      <c r="U107" s="721"/>
      <c r="V107" s="11">
        <f t="shared" si="8"/>
        <v>0</v>
      </c>
      <c r="W107" s="12">
        <f t="shared" si="9"/>
        <v>0</v>
      </c>
      <c r="X107" s="142"/>
      <c r="Y107" s="142"/>
    </row>
    <row r="108" spans="1:25" ht="24" customHeight="1">
      <c r="A108" s="643">
        <f>+A106+1</f>
        <v>37</v>
      </c>
      <c r="B108" s="645" t="s">
        <v>110</v>
      </c>
      <c r="C108" s="583" t="s">
        <v>240</v>
      </c>
      <c r="D108" s="584" t="s">
        <v>233</v>
      </c>
      <c r="E108" s="584">
        <v>161.04</v>
      </c>
      <c r="F108" s="693">
        <f>0.001*14.8</f>
        <v>1.4800000000000001E-2</v>
      </c>
      <c r="G108" s="694"/>
      <c r="H108" s="695"/>
      <c r="I108" s="656">
        <f>0.001*4.98</f>
        <v>4.9800000000000009E-3</v>
      </c>
      <c r="J108" s="657"/>
      <c r="K108" s="658"/>
      <c r="L108" s="122"/>
      <c r="M108" s="54"/>
      <c r="N108" s="70"/>
      <c r="O108" s="55"/>
      <c r="P108" s="148"/>
      <c r="Q108" s="72"/>
      <c r="R108" s="123">
        <f>F109+I109</f>
        <v>5.1849540799999996E-2</v>
      </c>
      <c r="S108" s="582">
        <f>R108+R109</f>
        <v>0.49806133353459786</v>
      </c>
      <c r="T108" s="582">
        <f>E108*S108</f>
        <v>80.207797152411629</v>
      </c>
      <c r="U108" s="717">
        <f>R109*E108</f>
        <v>71.857947101979633</v>
      </c>
      <c r="V108" s="11">
        <f t="shared" si="8"/>
        <v>0.66401354371100652</v>
      </c>
      <c r="W108" s="12">
        <f t="shared" si="9"/>
        <v>106.93274107922048</v>
      </c>
      <c r="X108" s="124"/>
      <c r="Y108" s="103"/>
    </row>
    <row r="109" spans="1:25" ht="24" hidden="1" customHeight="1">
      <c r="A109" s="686"/>
      <c r="B109" s="687"/>
      <c r="C109" s="583"/>
      <c r="D109" s="584"/>
      <c r="E109" s="584"/>
      <c r="F109" s="582">
        <f>F108*J$13/1000</f>
        <v>3.6375883999999997E-2</v>
      </c>
      <c r="G109" s="582"/>
      <c r="H109" s="582"/>
      <c r="I109" s="582">
        <f>I108*$Q$13/1000</f>
        <v>1.5473656800000003E-2</v>
      </c>
      <c r="J109" s="582"/>
      <c r="K109" s="582"/>
      <c r="L109" s="95" t="s">
        <v>130</v>
      </c>
      <c r="M109" s="74" t="s">
        <v>61</v>
      </c>
      <c r="N109" s="96">
        <v>1</v>
      </c>
      <c r="O109" s="76">
        <f>E108*N109</f>
        <v>161.04</v>
      </c>
      <c r="P109" s="97">
        <f>5.8/15.29</f>
        <v>0.37933289731850883</v>
      </c>
      <c r="Q109" s="78">
        <f>N109*P109*$N$11</f>
        <v>0.44201689993459786</v>
      </c>
      <c r="R109" s="582">
        <f>SUM(Q109:Q110)</f>
        <v>0.44621179273459788</v>
      </c>
      <c r="S109" s="582"/>
      <c r="T109" s="582"/>
      <c r="U109" s="717"/>
      <c r="V109" s="11">
        <f t="shared" si="8"/>
        <v>0</v>
      </c>
      <c r="W109" s="12">
        <f t="shared" si="9"/>
        <v>0</v>
      </c>
      <c r="X109" s="124"/>
      <c r="Y109" s="103"/>
    </row>
    <row r="110" spans="1:25" ht="24" hidden="1" customHeight="1">
      <c r="A110" s="644"/>
      <c r="B110" s="646"/>
      <c r="C110" s="583"/>
      <c r="D110" s="584"/>
      <c r="E110" s="584"/>
      <c r="F110" s="582"/>
      <c r="G110" s="582"/>
      <c r="H110" s="582"/>
      <c r="I110" s="582"/>
      <c r="J110" s="582"/>
      <c r="K110" s="582"/>
      <c r="L110" s="125" t="s">
        <v>113</v>
      </c>
      <c r="M110" s="126" t="s">
        <v>61</v>
      </c>
      <c r="N110" s="127">
        <v>4.0000000000000001E-3</v>
      </c>
      <c r="O110" s="128">
        <f>E108*N110</f>
        <v>0.64415999999999995</v>
      </c>
      <c r="P110" s="131">
        <v>0.9</v>
      </c>
      <c r="Q110" s="129">
        <f t="shared" ref="Q110" si="11">N110*P110*$N$11</f>
        <v>4.1948928000000016E-3</v>
      </c>
      <c r="R110" s="582"/>
      <c r="S110" s="582"/>
      <c r="T110" s="582"/>
      <c r="U110" s="717"/>
      <c r="V110" s="11">
        <f t="shared" si="8"/>
        <v>0</v>
      </c>
      <c r="W110" s="12">
        <f t="shared" si="9"/>
        <v>0</v>
      </c>
      <c r="X110" s="124"/>
      <c r="Y110" s="103"/>
    </row>
    <row r="111" spans="1:25" ht="24" customHeight="1">
      <c r="A111" s="643">
        <f>+A108+1</f>
        <v>38</v>
      </c>
      <c r="B111" s="645" t="s">
        <v>110</v>
      </c>
      <c r="C111" s="583" t="s">
        <v>241</v>
      </c>
      <c r="D111" s="584" t="s">
        <v>233</v>
      </c>
      <c r="E111" s="584">
        <f>2655.12+1815.3+432.9+360.75+384.8</f>
        <v>5648.87</v>
      </c>
      <c r="F111" s="693">
        <f>0.001*14.8</f>
        <v>1.4800000000000001E-2</v>
      </c>
      <c r="G111" s="694"/>
      <c r="H111" s="695"/>
      <c r="I111" s="656">
        <f>0.001*4.98</f>
        <v>4.9800000000000009E-3</v>
      </c>
      <c r="J111" s="657"/>
      <c r="K111" s="658"/>
      <c r="L111" s="122"/>
      <c r="M111" s="54"/>
      <c r="N111" s="70"/>
      <c r="O111" s="55"/>
      <c r="P111" s="148"/>
      <c r="Q111" s="72"/>
      <c r="R111" s="123">
        <f>F112+I112</f>
        <v>5.1849540799999996E-2</v>
      </c>
      <c r="S111" s="582">
        <f>R111+R112</f>
        <v>0.49770363234312659</v>
      </c>
      <c r="T111" s="582">
        <f>E111*S111</f>
        <v>2811.4631176341172</v>
      </c>
      <c r="U111" s="717">
        <f>R112*E111</f>
        <v>2518.5718020952218</v>
      </c>
      <c r="V111" s="11">
        <f t="shared" si="8"/>
        <v>0.66353665779405957</v>
      </c>
      <c r="W111" s="12">
        <f t="shared" si="9"/>
        <v>3748.2323201131294</v>
      </c>
      <c r="X111" s="124"/>
      <c r="Y111" s="103"/>
    </row>
    <row r="112" spans="1:25" ht="24" hidden="1" customHeight="1">
      <c r="A112" s="686"/>
      <c r="B112" s="687"/>
      <c r="C112" s="583"/>
      <c r="D112" s="584"/>
      <c r="E112" s="584"/>
      <c r="F112" s="582">
        <f>F111*J$13/1000</f>
        <v>3.6375883999999997E-2</v>
      </c>
      <c r="G112" s="582"/>
      <c r="H112" s="582"/>
      <c r="I112" s="582">
        <f>I111*$Q$13/1000</f>
        <v>1.5473656800000003E-2</v>
      </c>
      <c r="J112" s="582"/>
      <c r="K112" s="582"/>
      <c r="L112" s="95" t="s">
        <v>130</v>
      </c>
      <c r="M112" s="74" t="s">
        <v>61</v>
      </c>
      <c r="N112" s="96">
        <v>1</v>
      </c>
      <c r="O112" s="76">
        <f>E111*N112</f>
        <v>5648.87</v>
      </c>
      <c r="P112" s="97">
        <f>4.825/12.73</f>
        <v>0.37902592301649646</v>
      </c>
      <c r="Q112" s="78">
        <f>N112*P112*$N$11</f>
        <v>0.44165919874312659</v>
      </c>
      <c r="R112" s="582">
        <f>SUM(Q112:Q113)</f>
        <v>0.44585409154312661</v>
      </c>
      <c r="S112" s="582"/>
      <c r="T112" s="582"/>
      <c r="U112" s="717"/>
      <c r="V112" s="11">
        <f t="shared" si="8"/>
        <v>0</v>
      </c>
      <c r="W112" s="12">
        <f t="shared" si="9"/>
        <v>0</v>
      </c>
      <c r="X112" s="124"/>
      <c r="Y112" s="103"/>
    </row>
    <row r="113" spans="1:25" ht="24" hidden="1" customHeight="1">
      <c r="A113" s="644"/>
      <c r="B113" s="646"/>
      <c r="C113" s="583"/>
      <c r="D113" s="584"/>
      <c r="E113" s="584"/>
      <c r="F113" s="582"/>
      <c r="G113" s="582"/>
      <c r="H113" s="582"/>
      <c r="I113" s="582"/>
      <c r="J113" s="582"/>
      <c r="K113" s="582"/>
      <c r="L113" s="125" t="s">
        <v>113</v>
      </c>
      <c r="M113" s="126" t="s">
        <v>61</v>
      </c>
      <c r="N113" s="127">
        <v>4.0000000000000001E-3</v>
      </c>
      <c r="O113" s="128">
        <f>E111*N113</f>
        <v>22.595479999999998</v>
      </c>
      <c r="P113" s="131">
        <v>0.9</v>
      </c>
      <c r="Q113" s="129">
        <f t="shared" ref="Q113" si="12">N113*P113*$N$11</f>
        <v>4.1948928000000016E-3</v>
      </c>
      <c r="R113" s="582"/>
      <c r="S113" s="582"/>
      <c r="T113" s="582"/>
      <c r="U113" s="717"/>
      <c r="V113" s="11">
        <f t="shared" si="8"/>
        <v>0</v>
      </c>
      <c r="W113" s="12">
        <f t="shared" si="9"/>
        <v>0</v>
      </c>
      <c r="X113" s="124"/>
      <c r="Y113" s="103"/>
    </row>
    <row r="114" spans="1:25" ht="24" customHeight="1">
      <c r="A114" s="643">
        <f>+A111+1</f>
        <v>39</v>
      </c>
      <c r="B114" s="645" t="s">
        <v>110</v>
      </c>
      <c r="C114" s="583" t="s">
        <v>242</v>
      </c>
      <c r="D114" s="584" t="s">
        <v>233</v>
      </c>
      <c r="E114" s="584">
        <v>745.92</v>
      </c>
      <c r="F114" s="693">
        <f>0.001*14.8</f>
        <v>1.4800000000000001E-2</v>
      </c>
      <c r="G114" s="694"/>
      <c r="H114" s="695"/>
      <c r="I114" s="656">
        <f>0.001*4.98</f>
        <v>4.9800000000000009E-3</v>
      </c>
      <c r="J114" s="657"/>
      <c r="K114" s="658"/>
      <c r="L114" s="122"/>
      <c r="M114" s="54"/>
      <c r="N114" s="70"/>
      <c r="O114" s="55"/>
      <c r="P114" s="148"/>
      <c r="Q114" s="72"/>
      <c r="R114" s="123">
        <f>F115+I115</f>
        <v>5.1849540799999996E-2</v>
      </c>
      <c r="S114" s="582">
        <f>R114+R115</f>
        <v>0.45703443271308219</v>
      </c>
      <c r="T114" s="582">
        <f>E114*S114</f>
        <v>340.91112404934228</v>
      </c>
      <c r="U114" s="717">
        <f>R115*E114</f>
        <v>302.23551457580629</v>
      </c>
      <c r="V114" s="11">
        <f t="shared" si="8"/>
        <v>0.60931662996216562</v>
      </c>
      <c r="W114" s="12">
        <f t="shared" si="9"/>
        <v>454.50146062137856</v>
      </c>
      <c r="X114" s="124"/>
      <c r="Y114" s="103"/>
    </row>
    <row r="115" spans="1:25" ht="24" hidden="1" customHeight="1">
      <c r="A115" s="686"/>
      <c r="B115" s="687"/>
      <c r="C115" s="583"/>
      <c r="D115" s="584"/>
      <c r="E115" s="584"/>
      <c r="F115" s="582">
        <f>F114*J$13/1000</f>
        <v>3.6375883999999997E-2</v>
      </c>
      <c r="G115" s="582"/>
      <c r="H115" s="582"/>
      <c r="I115" s="582">
        <f>I114*$Q$13/1000</f>
        <v>1.5473656800000003E-2</v>
      </c>
      <c r="J115" s="582"/>
      <c r="K115" s="582"/>
      <c r="L115" s="95" t="s">
        <v>130</v>
      </c>
      <c r="M115" s="74" t="s">
        <v>61</v>
      </c>
      <c r="N115" s="96">
        <v>1</v>
      </c>
      <c r="O115" s="76">
        <f>E114*N115</f>
        <v>745.92</v>
      </c>
      <c r="P115" s="97">
        <f>3.104/9.02</f>
        <v>0.34412416851441247</v>
      </c>
      <c r="Q115" s="78">
        <f>N115*P115*$N$11</f>
        <v>0.4009899991130822</v>
      </c>
      <c r="R115" s="582">
        <f>SUM(Q115:Q116)</f>
        <v>0.40518489191308221</v>
      </c>
      <c r="S115" s="582"/>
      <c r="T115" s="582"/>
      <c r="U115" s="717"/>
      <c r="V115" s="11">
        <f t="shared" si="8"/>
        <v>0</v>
      </c>
      <c r="W115" s="12">
        <f t="shared" si="9"/>
        <v>0</v>
      </c>
      <c r="X115" s="124"/>
      <c r="Y115" s="103"/>
    </row>
    <row r="116" spans="1:25" ht="24" hidden="1" customHeight="1">
      <c r="A116" s="644"/>
      <c r="B116" s="646"/>
      <c r="C116" s="583"/>
      <c r="D116" s="584"/>
      <c r="E116" s="584"/>
      <c r="F116" s="582"/>
      <c r="G116" s="582"/>
      <c r="H116" s="582"/>
      <c r="I116" s="582"/>
      <c r="J116" s="582"/>
      <c r="K116" s="582"/>
      <c r="L116" s="125" t="s">
        <v>113</v>
      </c>
      <c r="M116" s="126" t="s">
        <v>61</v>
      </c>
      <c r="N116" s="127">
        <v>4.0000000000000001E-3</v>
      </c>
      <c r="O116" s="128">
        <f>E114*N116</f>
        <v>2.9836800000000001</v>
      </c>
      <c r="P116" s="131">
        <v>0.9</v>
      </c>
      <c r="Q116" s="129">
        <f t="shared" ref="Q116" si="13">N116*P116*$N$11</f>
        <v>4.1948928000000016E-3</v>
      </c>
      <c r="R116" s="582"/>
      <c r="S116" s="582"/>
      <c r="T116" s="582"/>
      <c r="U116" s="717"/>
      <c r="V116" s="11">
        <f t="shared" si="8"/>
        <v>0</v>
      </c>
      <c r="W116" s="12">
        <f t="shared" si="9"/>
        <v>0</v>
      </c>
      <c r="X116" s="124"/>
      <c r="Y116" s="103"/>
    </row>
    <row r="117" spans="1:25" ht="20.25" customHeight="1">
      <c r="A117" s="643">
        <f>+A114+1</f>
        <v>40</v>
      </c>
      <c r="B117" s="645" t="s">
        <v>110</v>
      </c>
      <c r="C117" s="583" t="s">
        <v>243</v>
      </c>
      <c r="D117" s="584" t="s">
        <v>233</v>
      </c>
      <c r="E117" s="584">
        <f>1869.84+152.64+3529.8+381.6+826.8+203.52</f>
        <v>6964.2000000000016</v>
      </c>
      <c r="F117" s="693">
        <f>0.001*14.8</f>
        <v>1.4800000000000001E-2</v>
      </c>
      <c r="G117" s="694"/>
      <c r="H117" s="695"/>
      <c r="I117" s="656">
        <f>0.001*4.98</f>
        <v>4.9800000000000009E-3</v>
      </c>
      <c r="J117" s="657"/>
      <c r="K117" s="658"/>
      <c r="L117" s="122"/>
      <c r="M117" s="54"/>
      <c r="N117" s="70"/>
      <c r="O117" s="55"/>
      <c r="P117" s="148"/>
      <c r="Q117" s="72"/>
      <c r="R117" s="123">
        <f>F118+I118</f>
        <v>5.1849540799999996E-2</v>
      </c>
      <c r="S117" s="582">
        <f>R117+R118</f>
        <v>0.45490369397735858</v>
      </c>
      <c r="T117" s="582">
        <f>E117*S117</f>
        <v>3168.0403055971215</v>
      </c>
      <c r="U117" s="717">
        <f>R118*E117</f>
        <v>2806.9497335577612</v>
      </c>
      <c r="V117" s="11">
        <f t="shared" si="8"/>
        <v>0.60647593689211854</v>
      </c>
      <c r="W117" s="12">
        <f t="shared" si="9"/>
        <v>4223.6197197040929</v>
      </c>
      <c r="X117" s="124"/>
      <c r="Y117" s="103"/>
    </row>
    <row r="118" spans="1:25" ht="24" hidden="1" customHeight="1">
      <c r="A118" s="686"/>
      <c r="B118" s="687"/>
      <c r="C118" s="583"/>
      <c r="D118" s="584"/>
      <c r="E118" s="584"/>
      <c r="F118" s="582">
        <f>F117*J$13/1000</f>
        <v>3.6375883999999997E-2</v>
      </c>
      <c r="G118" s="582"/>
      <c r="H118" s="582"/>
      <c r="I118" s="582">
        <f>I117*$Q$13/1000</f>
        <v>1.5473656800000003E-2</v>
      </c>
      <c r="J118" s="582"/>
      <c r="K118" s="582"/>
      <c r="L118" s="95" t="s">
        <v>130</v>
      </c>
      <c r="M118" s="74" t="s">
        <v>61</v>
      </c>
      <c r="N118" s="96">
        <v>1</v>
      </c>
      <c r="O118" s="76">
        <f>E117*N118</f>
        <v>6964.2000000000016</v>
      </c>
      <c r="P118" s="97">
        <f>2.177/6.36</f>
        <v>0.34229559748427674</v>
      </c>
      <c r="Q118" s="78">
        <f>N118*P118*$N$11</f>
        <v>0.39885926037735858</v>
      </c>
      <c r="R118" s="582">
        <f>SUM(Q118:Q119)</f>
        <v>0.4030541531773586</v>
      </c>
      <c r="S118" s="582"/>
      <c r="T118" s="582"/>
      <c r="U118" s="717"/>
      <c r="V118" s="11">
        <f t="shared" si="8"/>
        <v>0</v>
      </c>
      <c r="W118" s="12">
        <f t="shared" si="9"/>
        <v>0</v>
      </c>
      <c r="X118" s="124"/>
      <c r="Y118" s="103"/>
    </row>
    <row r="119" spans="1:25" ht="24" hidden="1" customHeight="1">
      <c r="A119" s="644"/>
      <c r="B119" s="646"/>
      <c r="C119" s="583"/>
      <c r="D119" s="584"/>
      <c r="E119" s="584"/>
      <c r="F119" s="582"/>
      <c r="G119" s="582"/>
      <c r="H119" s="582"/>
      <c r="I119" s="582"/>
      <c r="J119" s="582"/>
      <c r="K119" s="582"/>
      <c r="L119" s="125" t="s">
        <v>113</v>
      </c>
      <c r="M119" s="126" t="s">
        <v>61</v>
      </c>
      <c r="N119" s="127">
        <v>4.0000000000000001E-3</v>
      </c>
      <c r="O119" s="128">
        <f>E117*N119</f>
        <v>27.856800000000007</v>
      </c>
      <c r="P119" s="131">
        <v>0.9</v>
      </c>
      <c r="Q119" s="129">
        <f t="shared" ref="Q119" si="14">N119*P119*$N$11</f>
        <v>4.1948928000000016E-3</v>
      </c>
      <c r="R119" s="582"/>
      <c r="S119" s="582"/>
      <c r="T119" s="582"/>
      <c r="U119" s="717"/>
      <c r="V119" s="11">
        <f t="shared" si="8"/>
        <v>0</v>
      </c>
      <c r="W119" s="12">
        <f t="shared" si="9"/>
        <v>0</v>
      </c>
      <c r="X119" s="124"/>
      <c r="Y119" s="103"/>
    </row>
    <row r="120" spans="1:25" ht="24" customHeight="1">
      <c r="A120" s="643">
        <f>+A117+1</f>
        <v>41</v>
      </c>
      <c r="B120" s="645" t="s">
        <v>110</v>
      </c>
      <c r="C120" s="583" t="s">
        <v>244</v>
      </c>
      <c r="D120" s="584" t="s">
        <v>233</v>
      </c>
      <c r="E120" s="584">
        <f>1652.4+492.48+1938.06+923.4+310.5+108</f>
        <v>5424.84</v>
      </c>
      <c r="F120" s="693">
        <f>0.001*14.8</f>
        <v>1.4800000000000001E-2</v>
      </c>
      <c r="G120" s="694"/>
      <c r="H120" s="695"/>
      <c r="I120" s="656">
        <f>0.001*4.98</f>
        <v>4.9800000000000009E-3</v>
      </c>
      <c r="J120" s="657"/>
      <c r="K120" s="658"/>
      <c r="L120" s="122"/>
      <c r="M120" s="54"/>
      <c r="N120" s="70"/>
      <c r="O120" s="55"/>
      <c r="P120" s="148"/>
      <c r="Q120" s="72"/>
      <c r="R120" s="123">
        <f>F121+I121</f>
        <v>5.1849540799999996E-2</v>
      </c>
      <c r="S120" s="582">
        <f>R120+R121</f>
        <v>0.45438662026666676</v>
      </c>
      <c r="T120" s="582">
        <f>E120*S120</f>
        <v>2464.9747130874248</v>
      </c>
      <c r="U120" s="717">
        <f>R121*E120</f>
        <v>2183.6992501739528</v>
      </c>
      <c r="V120" s="11">
        <f t="shared" si="8"/>
        <v>0.60578657611689091</v>
      </c>
      <c r="W120" s="12">
        <f t="shared" si="9"/>
        <v>3286.2952495819545</v>
      </c>
      <c r="X120" s="124"/>
      <c r="Y120" s="103"/>
    </row>
    <row r="121" spans="1:25" ht="24" hidden="1" customHeight="1">
      <c r="A121" s="686"/>
      <c r="B121" s="687"/>
      <c r="C121" s="583"/>
      <c r="D121" s="584"/>
      <c r="E121" s="584"/>
      <c r="F121" s="582">
        <f>F120*J$13/1000</f>
        <v>3.6375883999999997E-2</v>
      </c>
      <c r="G121" s="582"/>
      <c r="H121" s="582"/>
      <c r="I121" s="582">
        <f>I120*$Q$13/1000</f>
        <v>1.5473656800000003E-2</v>
      </c>
      <c r="J121" s="582"/>
      <c r="K121" s="582"/>
      <c r="L121" s="95" t="s">
        <v>130</v>
      </c>
      <c r="M121" s="74" t="s">
        <v>61</v>
      </c>
      <c r="N121" s="96">
        <v>1</v>
      </c>
      <c r="O121" s="76">
        <f>E120*N121</f>
        <v>5424.84</v>
      </c>
      <c r="P121" s="97">
        <f>1.846/5.4</f>
        <v>0.34185185185185185</v>
      </c>
      <c r="Q121" s="78">
        <f>N121*P121*$N$11</f>
        <v>0.39834218666666676</v>
      </c>
      <c r="R121" s="582">
        <f>SUM(Q121:Q122)</f>
        <v>0.40253707946666678</v>
      </c>
      <c r="S121" s="582"/>
      <c r="T121" s="582"/>
      <c r="U121" s="717"/>
      <c r="V121" s="11">
        <f t="shared" si="8"/>
        <v>0</v>
      </c>
      <c r="W121" s="12">
        <f t="shared" si="9"/>
        <v>0</v>
      </c>
      <c r="X121" s="124"/>
      <c r="Y121" s="103"/>
    </row>
    <row r="122" spans="1:25" ht="24" hidden="1" customHeight="1">
      <c r="A122" s="644"/>
      <c r="B122" s="646"/>
      <c r="C122" s="583"/>
      <c r="D122" s="584"/>
      <c r="E122" s="584"/>
      <c r="F122" s="582"/>
      <c r="G122" s="582"/>
      <c r="H122" s="582"/>
      <c r="I122" s="582"/>
      <c r="J122" s="582"/>
      <c r="K122" s="582"/>
      <c r="L122" s="125" t="s">
        <v>113</v>
      </c>
      <c r="M122" s="126" t="s">
        <v>61</v>
      </c>
      <c r="N122" s="127">
        <v>4.0000000000000001E-3</v>
      </c>
      <c r="O122" s="128">
        <f>E120*N122</f>
        <v>21.699360000000002</v>
      </c>
      <c r="P122" s="131">
        <v>0.9</v>
      </c>
      <c r="Q122" s="129">
        <f t="shared" ref="Q122" si="15">N122*P122*$N$11</f>
        <v>4.1948928000000016E-3</v>
      </c>
      <c r="R122" s="582"/>
      <c r="S122" s="582"/>
      <c r="T122" s="582"/>
      <c r="U122" s="717"/>
      <c r="V122" s="11">
        <f t="shared" si="8"/>
        <v>0</v>
      </c>
      <c r="W122" s="12">
        <f t="shared" si="9"/>
        <v>0</v>
      </c>
      <c r="X122" s="124"/>
      <c r="Y122" s="103"/>
    </row>
    <row r="123" spans="1:25" ht="24" customHeight="1">
      <c r="A123" s="643">
        <f>+A120+1</f>
        <v>42</v>
      </c>
      <c r="B123" s="645" t="s">
        <v>110</v>
      </c>
      <c r="C123" s="583" t="s">
        <v>245</v>
      </c>
      <c r="D123" s="584" t="s">
        <v>233</v>
      </c>
      <c r="E123" s="584">
        <f>1450.4+156+690</f>
        <v>2296.4</v>
      </c>
      <c r="F123" s="693">
        <f>0.001*14.8</f>
        <v>1.4800000000000001E-2</v>
      </c>
      <c r="G123" s="694"/>
      <c r="H123" s="695"/>
      <c r="I123" s="656">
        <f>0.001*4.98</f>
        <v>4.9800000000000009E-3</v>
      </c>
      <c r="J123" s="657"/>
      <c r="K123" s="658"/>
      <c r="L123" s="122"/>
      <c r="M123" s="54"/>
      <c r="N123" s="70"/>
      <c r="O123" s="55"/>
      <c r="P123" s="148"/>
      <c r="Q123" s="72"/>
      <c r="R123" s="123">
        <f>F124+I124</f>
        <v>5.1849540799999996E-2</v>
      </c>
      <c r="S123" s="582">
        <f>R123+R124</f>
        <v>0.45543318560000007</v>
      </c>
      <c r="T123" s="582">
        <f>E123*S123</f>
        <v>1045.8567674118401</v>
      </c>
      <c r="U123" s="717">
        <f>R124*E123</f>
        <v>926.78948191872018</v>
      </c>
      <c r="V123" s="11">
        <f t="shared" si="8"/>
        <v>0.60718185318202667</v>
      </c>
      <c r="W123" s="12">
        <f t="shared" si="9"/>
        <v>1394.3324076472061</v>
      </c>
      <c r="X123" s="124"/>
      <c r="Y123" s="103"/>
    </row>
    <row r="124" spans="1:25" ht="24" hidden="1" customHeight="1">
      <c r="A124" s="686"/>
      <c r="B124" s="687"/>
      <c r="C124" s="583"/>
      <c r="D124" s="584"/>
      <c r="E124" s="584"/>
      <c r="F124" s="582">
        <f>F123*J$13/1000</f>
        <v>3.6375883999999997E-2</v>
      </c>
      <c r="G124" s="582"/>
      <c r="H124" s="582"/>
      <c r="I124" s="582">
        <f>I123*$Q$13/1000</f>
        <v>1.5473656800000003E-2</v>
      </c>
      <c r="J124" s="582"/>
      <c r="K124" s="582"/>
      <c r="L124" s="95" t="s">
        <v>130</v>
      </c>
      <c r="M124" s="74" t="s">
        <v>61</v>
      </c>
      <c r="N124" s="96">
        <v>1</v>
      </c>
      <c r="O124" s="76">
        <f>E123*N124</f>
        <v>2296.4</v>
      </c>
      <c r="P124" s="97">
        <f>1.371/4</f>
        <v>0.34275</v>
      </c>
      <c r="Q124" s="78">
        <f>N124*P124*$N$11</f>
        <v>0.39938875200000007</v>
      </c>
      <c r="R124" s="582">
        <f>SUM(Q124:Q125)</f>
        <v>0.40358364480000009</v>
      </c>
      <c r="S124" s="582"/>
      <c r="T124" s="582"/>
      <c r="U124" s="717"/>
      <c r="V124" s="11">
        <f t="shared" si="8"/>
        <v>0</v>
      </c>
      <c r="W124" s="12">
        <f t="shared" si="9"/>
        <v>0</v>
      </c>
      <c r="X124" s="124"/>
      <c r="Y124" s="103"/>
    </row>
    <row r="125" spans="1:25" ht="24" hidden="1" customHeight="1">
      <c r="A125" s="644"/>
      <c r="B125" s="646"/>
      <c r="C125" s="583"/>
      <c r="D125" s="584"/>
      <c r="E125" s="584"/>
      <c r="F125" s="582"/>
      <c r="G125" s="582"/>
      <c r="H125" s="582"/>
      <c r="I125" s="582"/>
      <c r="J125" s="582"/>
      <c r="K125" s="582"/>
      <c r="L125" s="125" t="s">
        <v>113</v>
      </c>
      <c r="M125" s="126" t="s">
        <v>61</v>
      </c>
      <c r="N125" s="127">
        <v>4.0000000000000001E-3</v>
      </c>
      <c r="O125" s="128">
        <f>E123*N125</f>
        <v>9.1856000000000009</v>
      </c>
      <c r="P125" s="131">
        <v>0.9</v>
      </c>
      <c r="Q125" s="129">
        <f t="shared" ref="Q125" si="16">N125*P125*$N$11</f>
        <v>4.1948928000000016E-3</v>
      </c>
      <c r="R125" s="582"/>
      <c r="S125" s="582"/>
      <c r="T125" s="582"/>
      <c r="U125" s="717"/>
      <c r="V125" s="11">
        <f t="shared" si="8"/>
        <v>0</v>
      </c>
      <c r="W125" s="12">
        <f t="shared" si="9"/>
        <v>0</v>
      </c>
      <c r="X125" s="124"/>
      <c r="Y125" s="103"/>
    </row>
    <row r="126" spans="1:25" ht="24" customHeight="1">
      <c r="A126" s="643">
        <f>+A123+1</f>
        <v>43</v>
      </c>
      <c r="B126" s="645" t="s">
        <v>110</v>
      </c>
      <c r="C126" s="712" t="s">
        <v>246</v>
      </c>
      <c r="D126" s="715" t="s">
        <v>233</v>
      </c>
      <c r="E126" s="584">
        <v>1096</v>
      </c>
      <c r="F126" s="693">
        <f>0.001*14.8</f>
        <v>1.4800000000000001E-2</v>
      </c>
      <c r="G126" s="694"/>
      <c r="H126" s="695"/>
      <c r="I126" s="656">
        <f>0.001*4.98</f>
        <v>4.9800000000000009E-3</v>
      </c>
      <c r="J126" s="657"/>
      <c r="K126" s="658"/>
      <c r="L126" s="122" t="s">
        <v>137</v>
      </c>
      <c r="M126" s="54"/>
      <c r="N126" s="70"/>
      <c r="O126" s="55"/>
      <c r="P126" s="55"/>
      <c r="Q126" s="72"/>
      <c r="R126" s="123">
        <f>F127+I127</f>
        <v>5.1849540799999996E-2</v>
      </c>
      <c r="S126" s="582">
        <f>R126+R127</f>
        <v>0.52214363360000016</v>
      </c>
      <c r="T126" s="582">
        <f>E126*S126</f>
        <v>572.26942242560017</v>
      </c>
      <c r="U126" s="717">
        <f>R127*E126</f>
        <v>515.44232570880024</v>
      </c>
      <c r="V126" s="11">
        <f t="shared" si="8"/>
        <v>0.69611997785970114</v>
      </c>
      <c r="W126" s="12">
        <f t="shared" si="9"/>
        <v>762.94749573423246</v>
      </c>
      <c r="X126" s="124"/>
      <c r="Y126" s="103"/>
    </row>
    <row r="127" spans="1:25" ht="24" hidden="1" customHeight="1">
      <c r="A127" s="686"/>
      <c r="B127" s="687"/>
      <c r="C127" s="718"/>
      <c r="D127" s="719"/>
      <c r="E127" s="584"/>
      <c r="F127" s="582">
        <f>F126*J$13/1000</f>
        <v>3.6375883999999997E-2</v>
      </c>
      <c r="G127" s="582"/>
      <c r="H127" s="582"/>
      <c r="I127" s="582">
        <f>I126*$Q$13/1000</f>
        <v>1.5473656800000003E-2</v>
      </c>
      <c r="J127" s="582"/>
      <c r="K127" s="582"/>
      <c r="L127" s="95" t="s">
        <v>130</v>
      </c>
      <c r="M127" s="74" t="s">
        <v>61</v>
      </c>
      <c r="N127" s="96">
        <v>1</v>
      </c>
      <c r="O127" s="76">
        <f>E126*N127</f>
        <v>1096</v>
      </c>
      <c r="P127" s="97">
        <v>0.4</v>
      </c>
      <c r="Q127" s="78">
        <f>N127*P127*$N$11</f>
        <v>0.46609920000000016</v>
      </c>
      <c r="R127" s="582">
        <f>SUM(Q127:Q128)</f>
        <v>0.47029409280000017</v>
      </c>
      <c r="S127" s="582"/>
      <c r="T127" s="582"/>
      <c r="U127" s="717"/>
      <c r="V127" s="11">
        <f t="shared" si="8"/>
        <v>0</v>
      </c>
      <c r="W127" s="12">
        <f t="shared" si="9"/>
        <v>0</v>
      </c>
      <c r="X127" s="124"/>
      <c r="Y127" s="103"/>
    </row>
    <row r="128" spans="1:25" ht="24" hidden="1" customHeight="1">
      <c r="A128" s="644"/>
      <c r="B128" s="646"/>
      <c r="C128" s="713"/>
      <c r="D128" s="716"/>
      <c r="E128" s="584"/>
      <c r="F128" s="582"/>
      <c r="G128" s="582"/>
      <c r="H128" s="582"/>
      <c r="I128" s="582"/>
      <c r="J128" s="582"/>
      <c r="K128" s="582"/>
      <c r="L128" s="125" t="s">
        <v>113</v>
      </c>
      <c r="M128" s="126" t="s">
        <v>61</v>
      </c>
      <c r="N128" s="127">
        <v>4.0000000000000001E-3</v>
      </c>
      <c r="O128" s="82">
        <f>E126*N128</f>
        <v>4.3840000000000003</v>
      </c>
      <c r="P128" s="131">
        <v>0.9</v>
      </c>
      <c r="Q128" s="129">
        <f t="shared" ref="Q128" si="17">N128*P128*$N$11</f>
        <v>4.1948928000000016E-3</v>
      </c>
      <c r="R128" s="582"/>
      <c r="S128" s="582"/>
      <c r="T128" s="582"/>
      <c r="U128" s="717"/>
      <c r="V128" s="11">
        <f t="shared" si="8"/>
        <v>0</v>
      </c>
      <c r="W128" s="12">
        <f t="shared" si="9"/>
        <v>0</v>
      </c>
      <c r="X128" s="124"/>
      <c r="Y128" s="103"/>
    </row>
    <row r="129" spans="1:25" ht="24" customHeight="1">
      <c r="A129" s="643">
        <f>+A126+1</f>
        <v>44</v>
      </c>
      <c r="B129" s="578" t="s">
        <v>138</v>
      </c>
      <c r="C129" s="712" t="s">
        <v>247</v>
      </c>
      <c r="D129" s="715" t="s">
        <v>233</v>
      </c>
      <c r="E129" s="581">
        <v>284.5</v>
      </c>
      <c r="F129" s="577"/>
      <c r="G129" s="577"/>
      <c r="H129" s="577"/>
      <c r="I129" s="575"/>
      <c r="J129" s="575"/>
      <c r="K129" s="575"/>
      <c r="L129" s="149"/>
      <c r="M129" s="150"/>
      <c r="N129" s="150"/>
      <c r="O129" s="150"/>
      <c r="P129" s="150"/>
      <c r="Q129" s="151"/>
      <c r="R129" s="152"/>
      <c r="S129" s="576">
        <f>R129+R130</f>
        <v>1.3092674157303374</v>
      </c>
      <c r="T129" s="576">
        <f>E129*S129</f>
        <v>372.48657977528103</v>
      </c>
      <c r="U129" s="714">
        <f>R130*E129</f>
        <v>372.48657977528103</v>
      </c>
      <c r="V129" s="11">
        <f t="shared" si="8"/>
        <v>1.7455105181821189</v>
      </c>
      <c r="W129" s="12">
        <f t="shared" si="9"/>
        <v>496.59774242281281</v>
      </c>
      <c r="X129" s="94"/>
      <c r="Y129" s="94"/>
    </row>
    <row r="130" spans="1:25" ht="24" hidden="1" customHeight="1">
      <c r="A130" s="644"/>
      <c r="B130" s="578"/>
      <c r="C130" s="713"/>
      <c r="D130" s="716"/>
      <c r="E130" s="581"/>
      <c r="F130" s="577"/>
      <c r="G130" s="577"/>
      <c r="H130" s="577"/>
      <c r="I130" s="575"/>
      <c r="J130" s="575"/>
      <c r="K130" s="575"/>
      <c r="L130" s="153" t="s">
        <v>140</v>
      </c>
      <c r="M130" s="74" t="s">
        <v>61</v>
      </c>
      <c r="N130" s="154">
        <v>1</v>
      </c>
      <c r="O130" s="115">
        <f>E129*N130</f>
        <v>284.5</v>
      </c>
      <c r="P130" s="105">
        <f>1 /0.89</f>
        <v>1.1235955056179776</v>
      </c>
      <c r="Q130" s="40">
        <f>N130*P130*$N$11</f>
        <v>1.3092674157303374</v>
      </c>
      <c r="R130" s="152">
        <f>SUM(Q130:Q130)</f>
        <v>1.3092674157303374</v>
      </c>
      <c r="S130" s="576"/>
      <c r="T130" s="576"/>
      <c r="U130" s="714"/>
      <c r="V130" s="11">
        <f t="shared" si="8"/>
        <v>0</v>
      </c>
      <c r="W130" s="12">
        <f t="shared" si="9"/>
        <v>0</v>
      </c>
      <c r="X130" s="94"/>
      <c r="Y130" s="94"/>
    </row>
    <row r="131" spans="1:25" ht="24" customHeight="1">
      <c r="A131" s="643">
        <f>+A129+1</f>
        <v>45</v>
      </c>
      <c r="B131" s="645" t="s">
        <v>141</v>
      </c>
      <c r="C131" s="712" t="s">
        <v>248</v>
      </c>
      <c r="D131" s="649" t="s">
        <v>233</v>
      </c>
      <c r="E131" s="690">
        <v>1017.6</v>
      </c>
      <c r="F131" s="653">
        <f>24.8/1000</f>
        <v>2.4799999999999999E-2</v>
      </c>
      <c r="G131" s="654"/>
      <c r="H131" s="655"/>
      <c r="I131" s="656">
        <f>14.8/1000</f>
        <v>1.4800000000000001E-2</v>
      </c>
      <c r="J131" s="657"/>
      <c r="K131" s="658"/>
      <c r="L131" s="107"/>
      <c r="M131" s="54"/>
      <c r="N131" s="55"/>
      <c r="O131" s="55"/>
      <c r="P131" s="55"/>
      <c r="Q131" s="72"/>
      <c r="R131" s="58">
        <f>F132+I132</f>
        <v>0.106940152</v>
      </c>
      <c r="S131" s="636">
        <f>R131+R132</f>
        <v>0.66043295200000007</v>
      </c>
      <c r="T131" s="636">
        <f>E131*S131</f>
        <v>672.05657195520007</v>
      </c>
      <c r="U131" s="638">
        <f>E131*Q132</f>
        <v>563.23427328000014</v>
      </c>
      <c r="V131" s="11">
        <f t="shared" si="8"/>
        <v>0.88048679010850817</v>
      </c>
      <c r="W131" s="12">
        <f t="shared" si="9"/>
        <v>895.98335761441797</v>
      </c>
      <c r="X131" s="155"/>
      <c r="Y131" s="156"/>
    </row>
    <row r="132" spans="1:25" ht="24" hidden="1" customHeight="1">
      <c r="A132" s="644"/>
      <c r="B132" s="646"/>
      <c r="C132" s="713"/>
      <c r="D132" s="650"/>
      <c r="E132" s="692"/>
      <c r="F132" s="640">
        <f>F131*$J$13/1000</f>
        <v>6.0954183999999995E-2</v>
      </c>
      <c r="G132" s="641"/>
      <c r="H132" s="642"/>
      <c r="I132" s="633">
        <f>I131*$Q$13/1000</f>
        <v>4.5985968000000002E-2</v>
      </c>
      <c r="J132" s="634"/>
      <c r="K132" s="635"/>
      <c r="L132" s="153" t="s">
        <v>143</v>
      </c>
      <c r="M132" s="74" t="s">
        <v>61</v>
      </c>
      <c r="N132" s="154">
        <v>1</v>
      </c>
      <c r="O132" s="115">
        <f>E131*N132</f>
        <v>1017.6</v>
      </c>
      <c r="P132" s="117">
        <v>0.47499999999999998</v>
      </c>
      <c r="Q132" s="40">
        <f>N132*P132*$N$11</f>
        <v>0.55349280000000012</v>
      </c>
      <c r="R132" s="58">
        <f>SUM(Q132:Q132)</f>
        <v>0.55349280000000012</v>
      </c>
      <c r="S132" s="637"/>
      <c r="T132" s="637"/>
      <c r="U132" s="639"/>
      <c r="V132" s="11">
        <f t="shared" si="8"/>
        <v>0</v>
      </c>
      <c r="W132" s="12">
        <f t="shared" si="9"/>
        <v>0</v>
      </c>
      <c r="X132" s="155"/>
      <c r="Y132" s="156"/>
    </row>
    <row r="133" spans="1:25" ht="24" customHeight="1">
      <c r="A133" s="498"/>
      <c r="B133" s="498"/>
      <c r="C133" s="499" t="s">
        <v>249</v>
      </c>
      <c r="D133" s="498"/>
      <c r="E133" s="500">
        <v>10</v>
      </c>
      <c r="F133" s="710"/>
      <c r="G133" s="710"/>
      <c r="H133" s="710"/>
      <c r="I133" s="710"/>
      <c r="J133" s="710"/>
      <c r="K133" s="710"/>
      <c r="L133" s="710"/>
      <c r="M133" s="501"/>
      <c r="N133" s="501"/>
      <c r="O133" s="501"/>
      <c r="P133" s="500"/>
      <c r="Q133" s="500"/>
      <c r="R133" s="500"/>
      <c r="S133" s="500"/>
      <c r="T133" s="500"/>
      <c r="U133" s="502">
        <f>+E133</f>
        <v>10</v>
      </c>
      <c r="V133" s="497">
        <f t="shared" si="8"/>
        <v>0</v>
      </c>
      <c r="W133" s="497">
        <f t="shared" si="9"/>
        <v>0</v>
      </c>
      <c r="X133" s="5"/>
      <c r="Y133" s="5"/>
    </row>
    <row r="134" spans="1:25" ht="24" customHeight="1">
      <c r="A134" s="698">
        <v>1</v>
      </c>
      <c r="B134" s="700" t="s">
        <v>144</v>
      </c>
      <c r="C134" s="711" t="s">
        <v>250</v>
      </c>
      <c r="D134" s="704" t="s">
        <v>197</v>
      </c>
      <c r="E134" s="706">
        <f>2.5*E133</f>
        <v>25</v>
      </c>
      <c r="F134" s="567">
        <f>0.01*194</f>
        <v>1.94</v>
      </c>
      <c r="G134" s="567"/>
      <c r="H134" s="567"/>
      <c r="I134" s="573">
        <v>0</v>
      </c>
      <c r="J134" s="573"/>
      <c r="K134" s="573"/>
      <c r="L134" s="157"/>
      <c r="M134" s="158"/>
      <c r="N134" s="158"/>
      <c r="O134" s="158"/>
      <c r="P134" s="159"/>
      <c r="Q134" s="160"/>
      <c r="R134" s="696">
        <f>F135+I135</f>
        <v>4.7681902000000003</v>
      </c>
      <c r="S134" s="696">
        <f>R134+R135</f>
        <v>4.7681902000000003</v>
      </c>
      <c r="T134" s="696">
        <f>E134*S134</f>
        <v>119.20475500000001</v>
      </c>
      <c r="U134" s="708"/>
      <c r="V134" s="11">
        <f t="shared" si="8"/>
        <v>6.3569336919228183</v>
      </c>
      <c r="W134" s="12">
        <f t="shared" si="9"/>
        <v>158.92334229807045</v>
      </c>
      <c r="X134" s="161"/>
      <c r="Y134" s="162"/>
    </row>
    <row r="135" spans="1:25" ht="24" hidden="1" customHeight="1">
      <c r="A135" s="699"/>
      <c r="B135" s="701"/>
      <c r="C135" s="711"/>
      <c r="D135" s="705"/>
      <c r="E135" s="707"/>
      <c r="F135" s="567">
        <f>F134*$J$13/1000</f>
        <v>4.7681902000000003</v>
      </c>
      <c r="G135" s="567"/>
      <c r="H135" s="567"/>
      <c r="I135" s="573">
        <f>I134*$Q$13/1000</f>
        <v>0</v>
      </c>
      <c r="J135" s="573"/>
      <c r="K135" s="573"/>
      <c r="L135" s="163"/>
      <c r="M135" s="146"/>
      <c r="N135" s="146"/>
      <c r="O135" s="146" t="s">
        <v>146</v>
      </c>
      <c r="P135" s="164"/>
      <c r="Q135" s="165"/>
      <c r="R135" s="697"/>
      <c r="S135" s="697"/>
      <c r="T135" s="697"/>
      <c r="U135" s="709"/>
      <c r="V135" s="11">
        <f t="shared" si="8"/>
        <v>0</v>
      </c>
      <c r="W135" s="12">
        <f t="shared" si="9"/>
        <v>0</v>
      </c>
      <c r="X135" s="161"/>
      <c r="Y135" s="162"/>
    </row>
    <row r="136" spans="1:25" ht="24" customHeight="1">
      <c r="A136" s="698">
        <f>+A134+1</f>
        <v>2</v>
      </c>
      <c r="B136" s="700" t="s">
        <v>147</v>
      </c>
      <c r="C136" s="702" t="s">
        <v>251</v>
      </c>
      <c r="D136" s="704" t="s">
        <v>197</v>
      </c>
      <c r="E136" s="706">
        <f>+E134</f>
        <v>25</v>
      </c>
      <c r="F136" s="567">
        <f>0.01*66.4</f>
        <v>0.66400000000000003</v>
      </c>
      <c r="G136" s="567"/>
      <c r="H136" s="567"/>
      <c r="I136" s="566"/>
      <c r="J136" s="566"/>
      <c r="K136" s="566"/>
      <c r="L136" s="166"/>
      <c r="M136" s="138"/>
      <c r="N136" s="139"/>
      <c r="O136" s="139"/>
      <c r="P136" s="167"/>
      <c r="Q136" s="168"/>
      <c r="R136" s="696">
        <f>F137+I137</f>
        <v>1.6319991199999999</v>
      </c>
      <c r="S136" s="696">
        <f>R136+R137</f>
        <v>1.6319991199999999</v>
      </c>
      <c r="T136" s="696">
        <f>E136*S136</f>
        <v>40.799977999999996</v>
      </c>
      <c r="U136" s="169"/>
      <c r="V136" s="11">
        <f t="shared" si="8"/>
        <v>2.1757752430086343</v>
      </c>
      <c r="W136" s="12">
        <f t="shared" si="9"/>
        <v>54.394381075215861</v>
      </c>
      <c r="X136" s="162"/>
      <c r="Y136" s="162"/>
    </row>
    <row r="137" spans="1:25" ht="24" hidden="1" customHeight="1">
      <c r="A137" s="699"/>
      <c r="B137" s="701"/>
      <c r="C137" s="703"/>
      <c r="D137" s="705"/>
      <c r="E137" s="707"/>
      <c r="F137" s="567">
        <f>F136*$J$13/1000</f>
        <v>1.6319991199999999</v>
      </c>
      <c r="G137" s="567"/>
      <c r="H137" s="567"/>
      <c r="I137" s="568"/>
      <c r="J137" s="568"/>
      <c r="K137" s="568"/>
      <c r="L137" s="163"/>
      <c r="M137" s="144"/>
      <c r="N137" s="145"/>
      <c r="O137" s="145"/>
      <c r="P137" s="164"/>
      <c r="Q137" s="170"/>
      <c r="R137" s="697"/>
      <c r="S137" s="697"/>
      <c r="T137" s="697"/>
      <c r="U137" s="171"/>
      <c r="V137" s="11">
        <f t="shared" si="8"/>
        <v>0</v>
      </c>
      <c r="W137" s="12">
        <f t="shared" si="9"/>
        <v>0</v>
      </c>
      <c r="X137" s="162"/>
      <c r="Y137" s="162"/>
    </row>
    <row r="138" spans="1:25" ht="24" customHeight="1">
      <c r="A138" s="643">
        <f>+A136+1</f>
        <v>3</v>
      </c>
      <c r="B138" s="645" t="s">
        <v>149</v>
      </c>
      <c r="C138" s="670" t="s">
        <v>252</v>
      </c>
      <c r="D138" s="672" t="s">
        <v>233</v>
      </c>
      <c r="E138" s="690">
        <f>+((0.4*2.51)+(1.5*3.77)+(7*0.4)+(8*0.22)+(1.5*0.04))*E133</f>
        <v>112.79000000000002</v>
      </c>
      <c r="F138" s="693">
        <f>36.1/1000</f>
        <v>3.61E-2</v>
      </c>
      <c r="G138" s="694"/>
      <c r="H138" s="695"/>
      <c r="I138" s="656">
        <v>5.7000000000000002E-2</v>
      </c>
      <c r="J138" s="657"/>
      <c r="K138" s="658"/>
      <c r="L138" s="112"/>
      <c r="M138" s="54"/>
      <c r="N138" s="55"/>
      <c r="O138" s="55"/>
      <c r="P138" s="55"/>
      <c r="Q138" s="72"/>
      <c r="R138" s="58">
        <f>F139+I139</f>
        <v>0.26583578299999999</v>
      </c>
      <c r="S138" s="636">
        <f>R138+R139+R140+R141</f>
        <v>0.80010199100000001</v>
      </c>
      <c r="T138" s="636">
        <f>E138*S138</f>
        <v>90.24350356489002</v>
      </c>
      <c r="U138" s="638">
        <f>E138*Q139</f>
        <v>59.142744864000022</v>
      </c>
      <c r="V138" s="11">
        <f t="shared" si="8"/>
        <v>1.0666930408024469</v>
      </c>
      <c r="W138" s="12">
        <f t="shared" si="9"/>
        <v>120.31230807210801</v>
      </c>
      <c r="X138" s="113"/>
      <c r="Y138" s="113"/>
    </row>
    <row r="139" spans="1:25" ht="24" hidden="1" customHeight="1">
      <c r="A139" s="686"/>
      <c r="B139" s="687"/>
      <c r="C139" s="688"/>
      <c r="D139" s="689"/>
      <c r="E139" s="691"/>
      <c r="F139" s="680">
        <f>F138*$J$13/1000</f>
        <v>8.8727662999999998E-2</v>
      </c>
      <c r="G139" s="681"/>
      <c r="H139" s="682"/>
      <c r="I139" s="680">
        <f>I138*$Q$13/1000</f>
        <v>0.17710811999999998</v>
      </c>
      <c r="J139" s="681"/>
      <c r="K139" s="682"/>
      <c r="L139" s="95" t="s">
        <v>112</v>
      </c>
      <c r="M139" s="74" t="s">
        <v>61</v>
      </c>
      <c r="N139" s="154">
        <v>1</v>
      </c>
      <c r="O139" s="116">
        <f>E138*N139</f>
        <v>112.79000000000002</v>
      </c>
      <c r="P139" s="105">
        <v>0.45</v>
      </c>
      <c r="Q139" s="67">
        <f>N139*P139*$N$11</f>
        <v>0.52436160000000009</v>
      </c>
      <c r="R139" s="636">
        <f>SUM(Q139:Q141)</f>
        <v>0.53426620800000002</v>
      </c>
      <c r="S139" s="678"/>
      <c r="T139" s="678"/>
      <c r="U139" s="679"/>
      <c r="V139" s="11">
        <f t="shared" si="8"/>
        <v>0</v>
      </c>
      <c r="W139" s="12">
        <f t="shared" si="9"/>
        <v>0</v>
      </c>
      <c r="X139" s="113"/>
      <c r="Y139" s="113"/>
    </row>
    <row r="140" spans="1:25" ht="24" hidden="1" customHeight="1">
      <c r="A140" s="686"/>
      <c r="B140" s="687"/>
      <c r="C140" s="688"/>
      <c r="D140" s="689"/>
      <c r="E140" s="691"/>
      <c r="F140" s="683"/>
      <c r="G140" s="684"/>
      <c r="H140" s="685"/>
      <c r="I140" s="683"/>
      <c r="J140" s="684"/>
      <c r="K140" s="685"/>
      <c r="L140" s="109" t="s">
        <v>113</v>
      </c>
      <c r="M140" s="63" t="s">
        <v>61</v>
      </c>
      <c r="N140" s="105">
        <v>4.0000000000000001E-3</v>
      </c>
      <c r="O140" s="65">
        <f>E138*N140</f>
        <v>0.45116000000000012</v>
      </c>
      <c r="P140" s="172">
        <v>0.9</v>
      </c>
      <c r="Q140" s="173">
        <f>N140*P140*$N$11</f>
        <v>4.1948928000000016E-3</v>
      </c>
      <c r="R140" s="678"/>
      <c r="S140" s="678"/>
      <c r="T140" s="678"/>
      <c r="U140" s="679"/>
      <c r="V140" s="11">
        <f t="shared" si="8"/>
        <v>0</v>
      </c>
      <c r="W140" s="12">
        <f t="shared" si="9"/>
        <v>0</v>
      </c>
      <c r="X140" s="113"/>
      <c r="Y140" s="113"/>
    </row>
    <row r="141" spans="1:25" ht="24" hidden="1" customHeight="1">
      <c r="A141" s="644"/>
      <c r="B141" s="646"/>
      <c r="C141" s="671"/>
      <c r="D141" s="673"/>
      <c r="E141" s="692"/>
      <c r="F141" s="674"/>
      <c r="G141" s="675"/>
      <c r="H141" s="676"/>
      <c r="I141" s="674"/>
      <c r="J141" s="675"/>
      <c r="K141" s="676"/>
      <c r="L141" s="174" t="s">
        <v>151</v>
      </c>
      <c r="M141" s="63" t="s">
        <v>61</v>
      </c>
      <c r="N141" s="175">
        <v>4.8999999999999998E-3</v>
      </c>
      <c r="O141" s="82">
        <f>E138*N141</f>
        <v>0.55267100000000013</v>
      </c>
      <c r="P141" s="176">
        <v>1</v>
      </c>
      <c r="Q141" s="177">
        <f>N141*P141*$N$11</f>
        <v>5.7097152000000016E-3</v>
      </c>
      <c r="R141" s="637"/>
      <c r="S141" s="637"/>
      <c r="T141" s="637"/>
      <c r="U141" s="639"/>
      <c r="V141" s="11">
        <f t="shared" si="8"/>
        <v>0</v>
      </c>
      <c r="W141" s="12">
        <f t="shared" si="9"/>
        <v>0</v>
      </c>
      <c r="X141" s="113"/>
      <c r="Y141" s="113"/>
    </row>
    <row r="142" spans="1:25" ht="24" customHeight="1">
      <c r="A142" s="643">
        <f>+A138+1</f>
        <v>4</v>
      </c>
      <c r="B142" s="645" t="s">
        <v>152</v>
      </c>
      <c r="C142" s="677" t="s">
        <v>253</v>
      </c>
      <c r="D142" s="672" t="s">
        <v>218</v>
      </c>
      <c r="E142" s="651">
        <f>8*E133</f>
        <v>80</v>
      </c>
      <c r="F142" s="633">
        <v>0.23</v>
      </c>
      <c r="G142" s="634"/>
      <c r="H142" s="635"/>
      <c r="I142" s="633">
        <v>0.01</v>
      </c>
      <c r="J142" s="634"/>
      <c r="K142" s="635"/>
      <c r="L142" s="112"/>
      <c r="M142" s="54"/>
      <c r="N142" s="55"/>
      <c r="O142" s="55"/>
      <c r="P142" s="148"/>
      <c r="Q142" s="57"/>
      <c r="R142" s="58">
        <f>F143+I143</f>
        <v>0.59637249999999997</v>
      </c>
      <c r="S142" s="636">
        <f>R142+R143</f>
        <v>5.8399885000000014</v>
      </c>
      <c r="T142" s="636">
        <f>E142*S142</f>
        <v>467.19908000000009</v>
      </c>
      <c r="U142" s="638">
        <f>E142*Q143</f>
        <v>419.48928000000012</v>
      </c>
      <c r="V142" s="11">
        <f t="shared" si="8"/>
        <v>7.785851255701127</v>
      </c>
      <c r="W142" s="12">
        <f t="shared" si="9"/>
        <v>622.86810045609013</v>
      </c>
      <c r="X142" s="60"/>
      <c r="Y142" s="60"/>
    </row>
    <row r="143" spans="1:25" ht="24" hidden="1" customHeight="1">
      <c r="A143" s="644"/>
      <c r="B143" s="646"/>
      <c r="C143" s="677"/>
      <c r="D143" s="673"/>
      <c r="E143" s="652"/>
      <c r="F143" s="674">
        <f>F142*$J$13/1000</f>
        <v>0.5653009</v>
      </c>
      <c r="G143" s="675"/>
      <c r="H143" s="676"/>
      <c r="I143" s="674">
        <f>I142*$Q$13/1000</f>
        <v>3.1071600000000001E-2</v>
      </c>
      <c r="J143" s="675"/>
      <c r="K143" s="676"/>
      <c r="L143" s="109" t="s">
        <v>155</v>
      </c>
      <c r="M143" s="63" t="s">
        <v>80</v>
      </c>
      <c r="N143" s="64">
        <v>1</v>
      </c>
      <c r="O143" s="65">
        <f>E142*N143</f>
        <v>80</v>
      </c>
      <c r="P143" s="110">
        <v>4.5</v>
      </c>
      <c r="Q143" s="178">
        <f>N143*P143*$N$11</f>
        <v>5.2436160000000012</v>
      </c>
      <c r="R143" s="68">
        <f>SUM(Q143:Q143)</f>
        <v>5.2436160000000012</v>
      </c>
      <c r="S143" s="637"/>
      <c r="T143" s="637"/>
      <c r="U143" s="639"/>
      <c r="V143" s="11">
        <f t="shared" si="8"/>
        <v>0</v>
      </c>
      <c r="W143" s="12">
        <f t="shared" si="9"/>
        <v>0</v>
      </c>
      <c r="X143" s="60"/>
      <c r="Y143" s="60"/>
    </row>
    <row r="144" spans="1:25" ht="24" customHeight="1">
      <c r="A144" s="643">
        <f>+A142+1</f>
        <v>5</v>
      </c>
      <c r="B144" s="645" t="s">
        <v>156</v>
      </c>
      <c r="C144" s="670" t="s">
        <v>254</v>
      </c>
      <c r="D144" s="672" t="s">
        <v>218</v>
      </c>
      <c r="E144" s="651">
        <f>3*E133</f>
        <v>30</v>
      </c>
      <c r="F144" s="659">
        <v>0.46</v>
      </c>
      <c r="G144" s="660"/>
      <c r="H144" s="661"/>
      <c r="I144" s="633">
        <v>0.08</v>
      </c>
      <c r="J144" s="634"/>
      <c r="K144" s="635"/>
      <c r="L144" s="112"/>
      <c r="M144" s="54"/>
      <c r="N144" s="55"/>
      <c r="O144" s="55"/>
      <c r="P144" s="55"/>
      <c r="Q144" s="57"/>
      <c r="R144" s="58">
        <f>F145+I145</f>
        <v>1.3791746</v>
      </c>
      <c r="S144" s="636">
        <f>R144+R145</f>
        <v>6.1858226000000007</v>
      </c>
      <c r="T144" s="636">
        <f>E144*S144</f>
        <v>185.57467800000003</v>
      </c>
      <c r="U144" s="638">
        <f>R145*E144</f>
        <v>144.19944000000004</v>
      </c>
      <c r="V144" s="11">
        <f t="shared" si="8"/>
        <v>8.2469160098096772</v>
      </c>
      <c r="W144" s="12">
        <f t="shared" si="9"/>
        <v>247.40748029429031</v>
      </c>
      <c r="X144" s="103"/>
      <c r="Y144" s="103"/>
    </row>
    <row r="145" spans="1:25" ht="24" hidden="1" customHeight="1">
      <c r="A145" s="644"/>
      <c r="B145" s="646"/>
      <c r="C145" s="671"/>
      <c r="D145" s="673"/>
      <c r="E145" s="652"/>
      <c r="F145" s="640">
        <f>F144*$J$13/1000</f>
        <v>1.1306018</v>
      </c>
      <c r="G145" s="641"/>
      <c r="H145" s="642"/>
      <c r="I145" s="633">
        <f>I144*$Q$13/1000</f>
        <v>0.24857280000000001</v>
      </c>
      <c r="J145" s="634"/>
      <c r="K145" s="635"/>
      <c r="L145" s="109" t="s">
        <v>158</v>
      </c>
      <c r="M145" s="63" t="s">
        <v>56</v>
      </c>
      <c r="N145" s="64">
        <v>2.5</v>
      </c>
      <c r="O145" s="65">
        <f>E144*N145</f>
        <v>75</v>
      </c>
      <c r="P145" s="105">
        <v>1.65</v>
      </c>
      <c r="Q145" s="67">
        <f>N145*P145*$N$11</f>
        <v>4.8066480000000009</v>
      </c>
      <c r="R145" s="58">
        <f>SUM(Q145:Q145)</f>
        <v>4.8066480000000009</v>
      </c>
      <c r="S145" s="637"/>
      <c r="T145" s="637"/>
      <c r="U145" s="639"/>
      <c r="V145" s="11">
        <f t="shared" si="8"/>
        <v>0</v>
      </c>
      <c r="W145" s="12">
        <f t="shared" si="9"/>
        <v>0</v>
      </c>
      <c r="X145" s="103"/>
      <c r="Y145" s="103"/>
    </row>
    <row r="146" spans="1:25" ht="24" customHeight="1">
      <c r="A146" s="540">
        <f>+A144+1</f>
        <v>6</v>
      </c>
      <c r="B146" s="541" t="s">
        <v>159</v>
      </c>
      <c r="C146" s="668" t="s">
        <v>255</v>
      </c>
      <c r="D146" s="669" t="s">
        <v>209</v>
      </c>
      <c r="E146" s="564">
        <f>7.5*E133</f>
        <v>75</v>
      </c>
      <c r="F146" s="547">
        <v>0.13</v>
      </c>
      <c r="G146" s="547"/>
      <c r="H146" s="547"/>
      <c r="I146" s="546">
        <v>1.7000000000000001E-2</v>
      </c>
      <c r="J146" s="546"/>
      <c r="K146" s="546"/>
      <c r="L146" s="281"/>
      <c r="M146" s="259"/>
      <c r="N146" s="260"/>
      <c r="O146" s="260"/>
      <c r="P146" s="306"/>
      <c r="Q146" s="262"/>
      <c r="R146" s="58">
        <f>F147+I147</f>
        <v>0.37233962000000004</v>
      </c>
      <c r="S146" s="538">
        <f>R146+R147</f>
        <v>0.94253430800000015</v>
      </c>
      <c r="T146" s="538">
        <f>E146*S146</f>
        <v>70.690073100000006</v>
      </c>
      <c r="U146" s="538">
        <f>R147*E146</f>
        <v>42.764601600000013</v>
      </c>
      <c r="V146" s="11">
        <f t="shared" si="8"/>
        <v>1.2565832835943413</v>
      </c>
      <c r="W146" s="11">
        <f t="shared" si="9"/>
        <v>94.243746269575595</v>
      </c>
      <c r="X146" s="103"/>
      <c r="Y146" s="103"/>
    </row>
    <row r="147" spans="1:25" ht="24" hidden="1" customHeight="1">
      <c r="A147" s="540"/>
      <c r="B147" s="541"/>
      <c r="C147" s="668"/>
      <c r="D147" s="669"/>
      <c r="E147" s="564"/>
      <c r="F147" s="539">
        <f>F146*$J$13/1000</f>
        <v>0.31951790000000002</v>
      </c>
      <c r="G147" s="539"/>
      <c r="H147" s="539"/>
      <c r="I147" s="538">
        <f>I146*$Q$13/1000</f>
        <v>5.2821720000000003E-2</v>
      </c>
      <c r="J147" s="538"/>
      <c r="K147" s="538"/>
      <c r="L147" s="274" t="s">
        <v>161</v>
      </c>
      <c r="M147" s="259" t="s">
        <v>56</v>
      </c>
      <c r="N147" s="58">
        <v>1</v>
      </c>
      <c r="O147" s="260">
        <f>E146*N147</f>
        <v>75</v>
      </c>
      <c r="P147" s="277">
        <f>0.367/3*4</f>
        <v>0.48933333333333334</v>
      </c>
      <c r="Q147" s="58">
        <f>N147*P147*$N$11</f>
        <v>0.57019468800000017</v>
      </c>
      <c r="R147" s="58">
        <f>SUM(Q147:Q147)</f>
        <v>0.57019468800000017</v>
      </c>
      <c r="S147" s="538"/>
      <c r="T147" s="538"/>
      <c r="U147" s="538"/>
      <c r="V147" s="11">
        <f t="shared" si="8"/>
        <v>0</v>
      </c>
      <c r="W147" s="11">
        <f t="shared" si="9"/>
        <v>0</v>
      </c>
      <c r="X147" s="103"/>
      <c r="Y147" s="103"/>
    </row>
    <row r="148" spans="1:25" ht="24" customHeight="1">
      <c r="A148" s="492"/>
      <c r="B148" s="493"/>
      <c r="C148" s="494" t="s">
        <v>256</v>
      </c>
      <c r="D148" s="493"/>
      <c r="E148" s="495"/>
      <c r="F148" s="495"/>
      <c r="G148" s="495"/>
      <c r="H148" s="495"/>
      <c r="I148" s="495"/>
      <c r="J148" s="495"/>
      <c r="K148" s="495"/>
      <c r="L148" s="495"/>
      <c r="M148" s="495"/>
      <c r="N148" s="495"/>
      <c r="O148" s="495"/>
      <c r="P148" s="495"/>
      <c r="Q148" s="495"/>
      <c r="R148" s="495"/>
      <c r="S148" s="495"/>
      <c r="T148" s="495"/>
      <c r="U148" s="496"/>
      <c r="V148" s="497">
        <f t="shared" si="8"/>
        <v>0</v>
      </c>
      <c r="W148" s="497">
        <f t="shared" si="9"/>
        <v>0</v>
      </c>
      <c r="X148" s="180"/>
      <c r="Y148" s="180"/>
    </row>
    <row r="149" spans="1:25" ht="24" customHeight="1">
      <c r="A149" s="559">
        <v>1</v>
      </c>
      <c r="B149" s="560" t="s">
        <v>144</v>
      </c>
      <c r="C149" s="666" t="s">
        <v>257</v>
      </c>
      <c r="D149" s="667" t="s">
        <v>197</v>
      </c>
      <c r="E149" s="562">
        <f>3.5*4</f>
        <v>14</v>
      </c>
      <c r="F149" s="563">
        <v>1.94</v>
      </c>
      <c r="G149" s="563"/>
      <c r="H149" s="563"/>
      <c r="I149" s="557">
        <v>0</v>
      </c>
      <c r="J149" s="557"/>
      <c r="K149" s="557"/>
      <c r="L149" s="222"/>
      <c r="M149" s="307"/>
      <c r="N149" s="307"/>
      <c r="O149" s="307"/>
      <c r="P149" s="308"/>
      <c r="Q149" s="308"/>
      <c r="R149" s="558">
        <f>F150+I150</f>
        <v>4.7681902000000003</v>
      </c>
      <c r="S149" s="558">
        <f>R149+R150</f>
        <v>4.7681902000000003</v>
      </c>
      <c r="T149" s="558">
        <f>E149*S149</f>
        <v>66.754662800000006</v>
      </c>
      <c r="U149" s="538"/>
      <c r="V149" s="11">
        <f t="shared" ref="V149:V158" si="18">+$V$14*S149</f>
        <v>6.3569336919228183</v>
      </c>
      <c r="W149" s="11">
        <f t="shared" ref="W149:W158" si="19">+V149*E149</f>
        <v>88.997071686919455</v>
      </c>
      <c r="X149" s="181"/>
      <c r="Y149" s="181"/>
    </row>
    <row r="150" spans="1:25" ht="24" hidden="1" customHeight="1">
      <c r="A150" s="559"/>
      <c r="B150" s="560"/>
      <c r="C150" s="666"/>
      <c r="D150" s="667"/>
      <c r="E150" s="562"/>
      <c r="F150" s="558">
        <f>F149*$J$13/1000</f>
        <v>4.7681902000000003</v>
      </c>
      <c r="G150" s="558"/>
      <c r="H150" s="558"/>
      <c r="I150" s="557">
        <f>I149*$Q$13/1000</f>
        <v>0</v>
      </c>
      <c r="J150" s="557"/>
      <c r="K150" s="557"/>
      <c r="L150" s="222"/>
      <c r="M150" s="307"/>
      <c r="N150" s="307"/>
      <c r="O150" s="307"/>
      <c r="P150" s="308"/>
      <c r="Q150" s="308"/>
      <c r="R150" s="558"/>
      <c r="S150" s="558"/>
      <c r="T150" s="558"/>
      <c r="U150" s="538"/>
      <c r="V150" s="11">
        <f t="shared" si="18"/>
        <v>0</v>
      </c>
      <c r="W150" s="11">
        <f t="shared" si="19"/>
        <v>0</v>
      </c>
      <c r="X150" s="181"/>
      <c r="Y150" s="181"/>
    </row>
    <row r="151" spans="1:25" ht="24" customHeight="1">
      <c r="A151" s="662">
        <f>+A149+1</f>
        <v>2</v>
      </c>
      <c r="B151" s="536" t="s">
        <v>164</v>
      </c>
      <c r="C151" s="664" t="s">
        <v>258</v>
      </c>
      <c r="D151" s="665" t="s">
        <v>197</v>
      </c>
      <c r="E151" s="556">
        <f>+E149</f>
        <v>14</v>
      </c>
      <c r="F151" s="550">
        <f>0.01*56.2</f>
        <v>0.56200000000000006</v>
      </c>
      <c r="G151" s="550"/>
      <c r="H151" s="550"/>
      <c r="I151" s="548"/>
      <c r="J151" s="548"/>
      <c r="K151" s="548"/>
      <c r="L151" s="132"/>
      <c r="M151" s="17"/>
      <c r="N151" s="17"/>
      <c r="O151" s="17"/>
      <c r="P151" s="17"/>
      <c r="Q151" s="26"/>
      <c r="R151" s="600">
        <f>F152+I152</f>
        <v>1.3813004600000001</v>
      </c>
      <c r="S151" s="600">
        <f>R151+R152</f>
        <v>1.3813004600000001</v>
      </c>
      <c r="T151" s="600">
        <f>E151*S151</f>
        <v>19.33820644</v>
      </c>
      <c r="U151" s="182"/>
      <c r="V151" s="11">
        <f t="shared" si="18"/>
        <v>1.8415447086910433</v>
      </c>
      <c r="W151" s="12">
        <f t="shared" si="19"/>
        <v>25.781625921674607</v>
      </c>
      <c r="X151" s="27"/>
      <c r="Y151" s="183"/>
    </row>
    <row r="152" spans="1:25" ht="24" hidden="1" customHeight="1">
      <c r="A152" s="663"/>
      <c r="B152" s="537"/>
      <c r="C152" s="664"/>
      <c r="D152" s="665"/>
      <c r="E152" s="556"/>
      <c r="F152" s="550">
        <f>F151*$J$13/1000</f>
        <v>1.3813004600000001</v>
      </c>
      <c r="G152" s="550"/>
      <c r="H152" s="550"/>
      <c r="I152" s="551">
        <f>J151*$Q$13/1000</f>
        <v>0</v>
      </c>
      <c r="J152" s="551"/>
      <c r="K152" s="551"/>
      <c r="L152" s="135"/>
      <c r="M152" s="23"/>
      <c r="N152" s="23"/>
      <c r="O152" s="23"/>
      <c r="P152" s="23"/>
      <c r="Q152" s="29"/>
      <c r="R152" s="601"/>
      <c r="S152" s="601"/>
      <c r="T152" s="601"/>
      <c r="U152" s="185"/>
      <c r="V152" s="11">
        <f t="shared" si="18"/>
        <v>0</v>
      </c>
      <c r="W152" s="12">
        <f t="shared" si="19"/>
        <v>0</v>
      </c>
      <c r="X152" s="27"/>
      <c r="Y152" s="183"/>
    </row>
    <row r="153" spans="1:25" ht="24" customHeight="1">
      <c r="A153" s="643">
        <f>+A151+1</f>
        <v>3</v>
      </c>
      <c r="B153" s="645" t="s">
        <v>166</v>
      </c>
      <c r="C153" s="542" t="s">
        <v>259</v>
      </c>
      <c r="D153" s="543" t="s">
        <v>218</v>
      </c>
      <c r="E153" s="544">
        <f>3*4</f>
        <v>12</v>
      </c>
      <c r="F153" s="659">
        <v>0.46</v>
      </c>
      <c r="G153" s="660"/>
      <c r="H153" s="661"/>
      <c r="I153" s="633">
        <v>7.0000000000000007E-2</v>
      </c>
      <c r="J153" s="634"/>
      <c r="K153" s="635"/>
      <c r="L153" s="112"/>
      <c r="M153" s="54"/>
      <c r="N153" s="55"/>
      <c r="O153" s="55"/>
      <c r="P153" s="179"/>
      <c r="Q153" s="57"/>
      <c r="R153" s="58">
        <f>F154+I154</f>
        <v>1.3481030000000001</v>
      </c>
      <c r="S153" s="636">
        <f>R153+R154</f>
        <v>4.7360615600000013</v>
      </c>
      <c r="T153" s="636">
        <f>E153*S153</f>
        <v>56.832738720000016</v>
      </c>
      <c r="U153" s="638">
        <f>R154*E153</f>
        <v>40.655502720000008</v>
      </c>
      <c r="V153" s="11">
        <f t="shared" si="18"/>
        <v>6.314099906875474</v>
      </c>
      <c r="W153" s="12">
        <f t="shared" si="19"/>
        <v>75.769198882505691</v>
      </c>
      <c r="X153" s="103"/>
      <c r="Y153" s="103"/>
    </row>
    <row r="154" spans="1:25" ht="24" hidden="1" customHeight="1">
      <c r="A154" s="644"/>
      <c r="B154" s="646"/>
      <c r="C154" s="542"/>
      <c r="D154" s="543"/>
      <c r="E154" s="544"/>
      <c r="F154" s="640">
        <f>F153*$J$13/1000</f>
        <v>1.1306018</v>
      </c>
      <c r="G154" s="641"/>
      <c r="H154" s="642"/>
      <c r="I154" s="633">
        <f>I153*$Q$13/1000</f>
        <v>0.21750120000000001</v>
      </c>
      <c r="J154" s="634"/>
      <c r="K154" s="635"/>
      <c r="L154" s="109" t="s">
        <v>168</v>
      </c>
      <c r="M154" s="63" t="s">
        <v>56</v>
      </c>
      <c r="N154" s="64">
        <v>2.5</v>
      </c>
      <c r="O154" s="65">
        <f>E153*N154</f>
        <v>30</v>
      </c>
      <c r="P154" s="105">
        <v>1.163</v>
      </c>
      <c r="Q154" s="67">
        <f>N154*P154*$N$11</f>
        <v>3.3879585600000008</v>
      </c>
      <c r="R154" s="58">
        <f>SUM(Q154:Q154)</f>
        <v>3.3879585600000008</v>
      </c>
      <c r="S154" s="637"/>
      <c r="T154" s="637"/>
      <c r="U154" s="639"/>
      <c r="V154" s="11">
        <f t="shared" si="18"/>
        <v>0</v>
      </c>
      <c r="W154" s="12">
        <f t="shared" si="19"/>
        <v>0</v>
      </c>
      <c r="X154" s="103"/>
      <c r="Y154" s="103"/>
    </row>
    <row r="155" spans="1:25" ht="24" customHeight="1">
      <c r="A155" s="643">
        <f>+A153+1</f>
        <v>4</v>
      </c>
      <c r="B155" s="645" t="s">
        <v>159</v>
      </c>
      <c r="C155" s="647" t="s">
        <v>260</v>
      </c>
      <c r="D155" s="649" t="s">
        <v>209</v>
      </c>
      <c r="E155" s="651">
        <f>10*4</f>
        <v>40</v>
      </c>
      <c r="F155" s="659">
        <v>0.13</v>
      </c>
      <c r="G155" s="660"/>
      <c r="H155" s="661"/>
      <c r="I155" s="656">
        <v>1.7000000000000001E-2</v>
      </c>
      <c r="J155" s="657"/>
      <c r="K155" s="658"/>
      <c r="L155" s="112"/>
      <c r="M155" s="54"/>
      <c r="N155" s="55"/>
      <c r="O155" s="55"/>
      <c r="P155" s="179"/>
      <c r="Q155" s="57"/>
      <c r="R155" s="58">
        <f>F156+I156</f>
        <v>0.37233962000000004</v>
      </c>
      <c r="S155" s="636">
        <f>R155+R156</f>
        <v>0.94253430800000015</v>
      </c>
      <c r="T155" s="636">
        <f>E155*S155</f>
        <v>37.701372320000004</v>
      </c>
      <c r="U155" s="638">
        <f>R156*E155</f>
        <v>22.807787520000005</v>
      </c>
      <c r="V155" s="11">
        <f t="shared" si="18"/>
        <v>1.2565832835943413</v>
      </c>
      <c r="W155" s="12">
        <f t="shared" si="19"/>
        <v>50.263331343773658</v>
      </c>
      <c r="X155" s="103"/>
      <c r="Y155" s="103"/>
    </row>
    <row r="156" spans="1:25" ht="24" hidden="1" customHeight="1">
      <c r="A156" s="644"/>
      <c r="B156" s="646"/>
      <c r="C156" s="648"/>
      <c r="D156" s="650"/>
      <c r="E156" s="652"/>
      <c r="F156" s="640">
        <f>F155*$J$13/1000</f>
        <v>0.31951790000000002</v>
      </c>
      <c r="G156" s="641"/>
      <c r="H156" s="642"/>
      <c r="I156" s="633">
        <f>I155*$Q$13/1000</f>
        <v>5.2821720000000003E-2</v>
      </c>
      <c r="J156" s="634"/>
      <c r="K156" s="635"/>
      <c r="L156" s="153" t="s">
        <v>161</v>
      </c>
      <c r="M156" s="63" t="s">
        <v>56</v>
      </c>
      <c r="N156" s="64">
        <v>1</v>
      </c>
      <c r="O156" s="186">
        <f>E155*N156</f>
        <v>40</v>
      </c>
      <c r="P156" s="105">
        <f>0.367/3*4</f>
        <v>0.48933333333333334</v>
      </c>
      <c r="Q156" s="67">
        <f>N156*P156*$N$11</f>
        <v>0.57019468800000017</v>
      </c>
      <c r="R156" s="58">
        <f>SUM(Q156:Q156)</f>
        <v>0.57019468800000017</v>
      </c>
      <c r="S156" s="637"/>
      <c r="T156" s="637"/>
      <c r="U156" s="639"/>
      <c r="V156" s="11">
        <f t="shared" si="18"/>
        <v>0</v>
      </c>
      <c r="W156" s="12">
        <f t="shared" si="19"/>
        <v>0</v>
      </c>
      <c r="X156" s="103"/>
      <c r="Y156" s="103"/>
    </row>
    <row r="157" spans="1:25" ht="24.75" customHeight="1">
      <c r="A157" s="643">
        <f>+A155+1</f>
        <v>5</v>
      </c>
      <c r="B157" s="645" t="s">
        <v>170</v>
      </c>
      <c r="C157" s="647" t="s">
        <v>261</v>
      </c>
      <c r="D157" s="649" t="s">
        <v>218</v>
      </c>
      <c r="E157" s="651">
        <v>4</v>
      </c>
      <c r="F157" s="653">
        <v>0.31</v>
      </c>
      <c r="G157" s="654"/>
      <c r="H157" s="655"/>
      <c r="I157" s="633">
        <v>0.04</v>
      </c>
      <c r="J157" s="634"/>
      <c r="K157" s="635"/>
      <c r="L157" s="112"/>
      <c r="M157" s="54"/>
      <c r="N157" s="55"/>
      <c r="O157" s="55"/>
      <c r="P157" s="179"/>
      <c r="Q157" s="57"/>
      <c r="R157" s="58">
        <f>F158+I158</f>
        <v>0.88621369999999999</v>
      </c>
      <c r="S157" s="636">
        <f>R157+R158</f>
        <v>1.416110228</v>
      </c>
      <c r="T157" s="636">
        <f>E157*S157</f>
        <v>5.6644409119999999</v>
      </c>
      <c r="U157" s="638">
        <f>R158*E157</f>
        <v>2.1195861120000004</v>
      </c>
      <c r="V157" s="11">
        <f t="shared" si="18"/>
        <v>1.8879529637575496</v>
      </c>
      <c r="W157" s="12">
        <f t="shared" si="19"/>
        <v>7.5518118550301985</v>
      </c>
      <c r="X157" s="103"/>
      <c r="Y157" s="103"/>
    </row>
    <row r="158" spans="1:25" ht="24" hidden="1" customHeight="1">
      <c r="A158" s="644"/>
      <c r="B158" s="646"/>
      <c r="C158" s="648"/>
      <c r="D158" s="650"/>
      <c r="E158" s="652"/>
      <c r="F158" s="640">
        <f>F157*$J$13/1000</f>
        <v>0.76192729999999997</v>
      </c>
      <c r="G158" s="641"/>
      <c r="H158" s="642"/>
      <c r="I158" s="633">
        <f>I157*$Q$13/1000</f>
        <v>0.12428640000000001</v>
      </c>
      <c r="J158" s="634"/>
      <c r="K158" s="635"/>
      <c r="L158" s="109" t="s">
        <v>172</v>
      </c>
      <c r="M158" s="63" t="s">
        <v>61</v>
      </c>
      <c r="N158" s="64">
        <v>1.07</v>
      </c>
      <c r="O158" s="65">
        <f>E157*N158</f>
        <v>4.28</v>
      </c>
      <c r="P158" s="117">
        <v>0.42499999999999999</v>
      </c>
      <c r="Q158" s="67">
        <f>N158*P158*$N$11</f>
        <v>0.52989652800000009</v>
      </c>
      <c r="R158" s="58">
        <f>SUM(Q158:Q158)</f>
        <v>0.52989652800000009</v>
      </c>
      <c r="S158" s="637"/>
      <c r="T158" s="637"/>
      <c r="U158" s="639"/>
      <c r="V158" s="11">
        <f t="shared" si="18"/>
        <v>0</v>
      </c>
      <c r="W158" s="12">
        <f t="shared" si="19"/>
        <v>0</v>
      </c>
      <c r="X158" s="103"/>
      <c r="Y158" s="103"/>
    </row>
    <row r="159" spans="1:25" ht="24" customHeight="1">
      <c r="A159" s="452"/>
      <c r="B159" s="453"/>
      <c r="C159" s="630" t="s">
        <v>262</v>
      </c>
      <c r="D159" s="631"/>
      <c r="E159" s="631"/>
      <c r="F159" s="631"/>
      <c r="G159" s="631"/>
      <c r="H159" s="631"/>
      <c r="I159" s="631"/>
      <c r="J159" s="631"/>
      <c r="K159" s="631"/>
      <c r="L159" s="631"/>
      <c r="M159" s="631"/>
      <c r="N159" s="631"/>
      <c r="O159" s="631"/>
      <c r="P159" s="631"/>
      <c r="Q159" s="631"/>
      <c r="R159" s="631"/>
      <c r="S159" s="631"/>
      <c r="T159" s="631"/>
      <c r="U159" s="631"/>
      <c r="V159" s="632"/>
      <c r="W159" s="487">
        <f>SUM(W21:W158)</f>
        <v>83892.295034983137</v>
      </c>
      <c r="X159" s="187">
        <f>SUM(X21:X158)</f>
        <v>0</v>
      </c>
      <c r="Y159" s="188"/>
    </row>
    <row r="160" spans="1:25" ht="24" customHeight="1">
      <c r="A160" s="454"/>
      <c r="B160" s="455"/>
      <c r="C160" s="456" t="s">
        <v>263</v>
      </c>
      <c r="D160" s="344"/>
      <c r="E160" s="457"/>
      <c r="F160" s="458"/>
      <c r="G160" s="459"/>
      <c r="H160" s="458"/>
      <c r="I160" s="458"/>
      <c r="J160" s="459"/>
      <c r="K160" s="458"/>
      <c r="L160" s="460"/>
      <c r="M160" s="461"/>
      <c r="N160" s="462"/>
      <c r="O160" s="463"/>
      <c r="P160" s="458"/>
      <c r="Q160" s="459"/>
      <c r="R160" s="463"/>
      <c r="S160" s="463"/>
      <c r="T160" s="464"/>
      <c r="U160" s="465"/>
      <c r="V160" s="466"/>
      <c r="W160" s="488">
        <f>W159*D160</f>
        <v>0</v>
      </c>
      <c r="X160" s="190"/>
    </row>
    <row r="161" spans="1:34" ht="24" customHeight="1">
      <c r="A161" s="454"/>
      <c r="B161" s="455"/>
      <c r="C161" s="467" t="s">
        <v>264</v>
      </c>
      <c r="D161" s="344"/>
      <c r="E161" s="463"/>
      <c r="F161" s="458"/>
      <c r="G161" s="459"/>
      <c r="H161" s="458"/>
      <c r="I161" s="458"/>
      <c r="J161" s="459"/>
      <c r="K161" s="458"/>
      <c r="L161" s="460"/>
      <c r="M161" s="461"/>
      <c r="N161" s="462"/>
      <c r="O161" s="463"/>
      <c r="P161" s="458"/>
      <c r="Q161" s="459"/>
      <c r="R161" s="463"/>
      <c r="S161" s="463"/>
      <c r="T161" s="464"/>
      <c r="U161" s="465"/>
      <c r="V161" s="468"/>
      <c r="W161" s="488">
        <f>SUM(W159:W160)</f>
        <v>83892.295034983137</v>
      </c>
      <c r="X161" s="190"/>
    </row>
    <row r="162" spans="1:34" ht="24" customHeight="1">
      <c r="A162" s="454"/>
      <c r="B162" s="455"/>
      <c r="C162" s="469" t="s">
        <v>265</v>
      </c>
      <c r="D162" s="344"/>
      <c r="E162" s="463"/>
      <c r="F162" s="458"/>
      <c r="G162" s="459"/>
      <c r="H162" s="458"/>
      <c r="I162" s="458"/>
      <c r="J162" s="459"/>
      <c r="K162" s="458"/>
      <c r="L162" s="460"/>
      <c r="M162" s="461"/>
      <c r="N162" s="462"/>
      <c r="O162" s="463"/>
      <c r="P162" s="458"/>
      <c r="Q162" s="459"/>
      <c r="R162" s="463"/>
      <c r="S162" s="463"/>
      <c r="T162" s="464"/>
      <c r="U162" s="465"/>
      <c r="V162" s="468"/>
      <c r="W162" s="488">
        <f>+#REF!</f>
        <v>0</v>
      </c>
      <c r="X162" s="190"/>
      <c r="Y162" s="5"/>
    </row>
    <row r="163" spans="1:34" ht="24" customHeight="1">
      <c r="A163" s="454"/>
      <c r="B163" s="455"/>
      <c r="C163" s="469" t="s">
        <v>266</v>
      </c>
      <c r="D163" s="344"/>
      <c r="E163" s="463"/>
      <c r="F163" s="458"/>
      <c r="G163" s="459"/>
      <c r="H163" s="458"/>
      <c r="I163" s="458"/>
      <c r="J163" s="459"/>
      <c r="K163" s="458"/>
      <c r="L163" s="460"/>
      <c r="M163" s="461"/>
      <c r="N163" s="462"/>
      <c r="O163" s="463"/>
      <c r="P163" s="458"/>
      <c r="Q163" s="459"/>
      <c r="R163" s="463"/>
      <c r="S163" s="463"/>
      <c r="T163" s="464"/>
      <c r="U163" s="465"/>
      <c r="V163" s="468"/>
      <c r="W163" s="488">
        <f>+W161+W162</f>
        <v>83892.295034983137</v>
      </c>
      <c r="X163" s="190"/>
    </row>
    <row r="164" spans="1:34" ht="24" customHeight="1">
      <c r="A164" s="454"/>
      <c r="B164" s="455"/>
      <c r="C164" s="467" t="s">
        <v>267</v>
      </c>
      <c r="D164" s="344">
        <v>0.2</v>
      </c>
      <c r="E164" s="463"/>
      <c r="F164" s="458"/>
      <c r="G164" s="459"/>
      <c r="H164" s="458"/>
      <c r="I164" s="458"/>
      <c r="J164" s="459"/>
      <c r="K164" s="458"/>
      <c r="L164" s="460"/>
      <c r="M164" s="461"/>
      <c r="N164" s="462"/>
      <c r="O164" s="463"/>
      <c r="P164" s="458"/>
      <c r="Q164" s="459"/>
      <c r="R164" s="463"/>
      <c r="S164" s="463"/>
      <c r="T164" s="464"/>
      <c r="U164" s="465"/>
      <c r="V164" s="468"/>
      <c r="W164" s="488">
        <f>+(W163)*D164</f>
        <v>16778.459006996629</v>
      </c>
      <c r="X164" s="190"/>
    </row>
    <row r="165" spans="1:34" ht="24" customHeight="1">
      <c r="A165" s="454"/>
      <c r="B165" s="455"/>
      <c r="C165" s="470" t="s">
        <v>264</v>
      </c>
      <c r="D165" s="471"/>
      <c r="E165" s="463"/>
      <c r="F165" s="458"/>
      <c r="G165" s="459"/>
      <c r="H165" s="458"/>
      <c r="I165" s="458"/>
      <c r="J165" s="459"/>
      <c r="K165" s="458"/>
      <c r="L165" s="460"/>
      <c r="M165" s="461"/>
      <c r="N165" s="462"/>
      <c r="O165" s="463"/>
      <c r="P165" s="458"/>
      <c r="Q165" s="459"/>
      <c r="R165" s="463"/>
      <c r="S165" s="463"/>
      <c r="T165" s="464"/>
      <c r="U165" s="465"/>
      <c r="V165" s="468"/>
      <c r="W165" s="489">
        <f>SUM(W163:W164)</f>
        <v>100670.75404197976</v>
      </c>
      <c r="X165" s="190"/>
    </row>
    <row r="166" spans="1:34" ht="24" customHeight="1" thickBot="1">
      <c r="A166" s="472"/>
      <c r="B166" s="473"/>
      <c r="C166" s="474" t="s">
        <v>268</v>
      </c>
      <c r="D166" s="475"/>
      <c r="E166" s="476"/>
      <c r="F166" s="477"/>
      <c r="G166" s="478"/>
      <c r="H166" s="477"/>
      <c r="I166" s="477"/>
      <c r="J166" s="478"/>
      <c r="K166" s="477"/>
      <c r="L166" s="479"/>
      <c r="M166" s="480"/>
      <c r="N166" s="481"/>
      <c r="O166" s="482"/>
      <c r="P166" s="481"/>
      <c r="Q166" s="482"/>
      <c r="R166" s="482"/>
      <c r="S166" s="482"/>
      <c r="T166" s="483"/>
      <c r="U166" s="482"/>
      <c r="V166" s="484"/>
      <c r="W166" s="490">
        <f>+W165</f>
        <v>100670.75404197976</v>
      </c>
      <c r="X166" s="191"/>
      <c r="Y166" s="329">
        <f>+#REF!+#REF!*1.2</f>
        <v>100670.75404197967</v>
      </c>
    </row>
    <row r="167" spans="1:34" ht="24" customHeight="1" thickTop="1">
      <c r="A167" s="192"/>
      <c r="B167" s="193"/>
      <c r="C167" s="527"/>
      <c r="D167" s="527"/>
      <c r="E167" s="527"/>
      <c r="F167" s="527"/>
      <c r="G167" s="527"/>
      <c r="H167" s="527"/>
      <c r="I167" s="527"/>
      <c r="J167" s="527"/>
      <c r="K167" s="527"/>
      <c r="L167" s="527"/>
      <c r="M167" s="527"/>
      <c r="N167" s="527"/>
      <c r="O167" s="527"/>
      <c r="P167" s="527"/>
      <c r="Q167" s="527"/>
      <c r="R167" s="527"/>
      <c r="S167" s="527"/>
      <c r="T167" s="527"/>
      <c r="U167" s="527"/>
      <c r="V167" s="527"/>
      <c r="W167" s="527"/>
      <c r="X167" s="190"/>
    </row>
    <row r="168" spans="1:34" ht="24" customHeight="1">
      <c r="V168" s="322"/>
      <c r="W168" s="323"/>
      <c r="X168" s="322"/>
      <c r="Y168" s="322"/>
      <c r="Z168" s="328"/>
      <c r="AA168" s="328"/>
      <c r="AB168" s="328"/>
      <c r="AC168" s="328"/>
      <c r="AD168" s="328"/>
      <c r="AE168" s="328"/>
      <c r="AF168" s="328"/>
      <c r="AG168" s="328"/>
      <c r="AH168" s="328"/>
    </row>
    <row r="169" spans="1:34" ht="24" customHeight="1">
      <c r="V169" s="336">
        <f>+$V$14*(S169-P170)</f>
        <v>0</v>
      </c>
      <c r="W169" s="491" t="s">
        <v>179</v>
      </c>
      <c r="X169" s="322"/>
      <c r="Y169" s="322"/>
      <c r="Z169" s="328"/>
      <c r="AA169" s="328"/>
      <c r="AB169" s="328"/>
      <c r="AC169" s="328"/>
      <c r="AD169" s="328"/>
      <c r="AE169" s="328"/>
      <c r="AF169" s="328"/>
      <c r="AG169" s="328"/>
      <c r="AH169" s="328"/>
    </row>
    <row r="170" spans="1:34">
      <c r="V170" s="322"/>
      <c r="W170" s="323"/>
      <c r="X170" s="322"/>
      <c r="Y170" s="322"/>
      <c r="Z170" s="328"/>
      <c r="AA170" s="328"/>
      <c r="AB170" s="328"/>
      <c r="AC170" s="328"/>
      <c r="AD170" s="328"/>
      <c r="AE170" s="328"/>
      <c r="AF170" s="328"/>
      <c r="AG170" s="328"/>
      <c r="AH170" s="328"/>
    </row>
    <row r="171" spans="1:34">
      <c r="V171" s="322"/>
      <c r="W171" s="323"/>
      <c r="X171" s="322"/>
      <c r="Y171" s="322"/>
      <c r="Z171" s="328"/>
      <c r="AA171" s="328"/>
      <c r="AB171" s="328"/>
      <c r="AC171" s="328"/>
      <c r="AD171" s="328"/>
      <c r="AE171" s="328"/>
      <c r="AF171" s="328"/>
      <c r="AG171" s="328"/>
      <c r="AH171" s="328"/>
    </row>
    <row r="172" spans="1:34">
      <c r="V172" s="322"/>
      <c r="W172" s="323"/>
      <c r="X172" s="322"/>
      <c r="Y172" s="322"/>
      <c r="Z172" s="328"/>
      <c r="AA172" s="328"/>
      <c r="AB172" s="328"/>
      <c r="AC172" s="328"/>
      <c r="AD172" s="328"/>
      <c r="AE172" s="328"/>
      <c r="AF172" s="328"/>
      <c r="AG172" s="328"/>
      <c r="AH172" s="328"/>
    </row>
    <row r="173" spans="1:34">
      <c r="V173" s="322"/>
      <c r="W173" s="323"/>
      <c r="X173" s="322"/>
      <c r="Y173" s="322"/>
      <c r="Z173" s="328"/>
      <c r="AA173" s="328"/>
      <c r="AB173" s="328"/>
      <c r="AC173" s="328"/>
      <c r="AD173" s="328"/>
      <c r="AE173" s="328"/>
      <c r="AF173" s="328"/>
      <c r="AG173" s="328"/>
      <c r="AH173" s="328"/>
    </row>
    <row r="174" spans="1:34">
      <c r="V174" s="322"/>
      <c r="W174" s="323"/>
      <c r="X174" s="322"/>
      <c r="Y174" s="322"/>
      <c r="Z174" s="328"/>
      <c r="AA174" s="328"/>
      <c r="AB174" s="328"/>
      <c r="AC174" s="328"/>
      <c r="AD174" s="328"/>
      <c r="AE174" s="328"/>
      <c r="AF174" s="328"/>
      <c r="AG174" s="328"/>
      <c r="AH174" s="328"/>
    </row>
    <row r="175" spans="1:34">
      <c r="V175" s="322"/>
      <c r="W175" s="323"/>
      <c r="X175" s="322"/>
      <c r="Y175" s="322"/>
      <c r="Z175" s="328"/>
      <c r="AA175" s="328"/>
      <c r="AB175" s="328"/>
      <c r="AC175" s="328"/>
      <c r="AD175" s="328"/>
      <c r="AE175" s="328"/>
      <c r="AF175" s="328"/>
      <c r="AG175" s="328"/>
      <c r="AH175" s="328"/>
    </row>
    <row r="176" spans="1:34">
      <c r="V176" s="322"/>
      <c r="W176" s="323"/>
      <c r="X176" s="322"/>
      <c r="Y176" s="322"/>
      <c r="Z176" s="328"/>
      <c r="AA176" s="328"/>
      <c r="AB176" s="328"/>
      <c r="AC176" s="328"/>
      <c r="AD176" s="328"/>
      <c r="AE176" s="328"/>
      <c r="AF176" s="328"/>
      <c r="AG176" s="328"/>
      <c r="AH176" s="328"/>
    </row>
  </sheetData>
  <mergeCells count="745">
    <mergeCell ref="P10:R10"/>
    <mergeCell ref="D11:F11"/>
    <mergeCell ref="N11:P11"/>
    <mergeCell ref="A13:C13"/>
    <mergeCell ref="E13:I13"/>
    <mergeCell ref="J13:L13"/>
    <mergeCell ref="M13:P13"/>
    <mergeCell ref="Q13:S13"/>
    <mergeCell ref="A1:X1"/>
    <mergeCell ref="A2:C2"/>
    <mergeCell ref="A4:V4"/>
    <mergeCell ref="E6:R6"/>
    <mergeCell ref="E7:R7"/>
    <mergeCell ref="A9:B9"/>
    <mergeCell ref="P9:R9"/>
    <mergeCell ref="I14:K14"/>
    <mergeCell ref="A15:A19"/>
    <mergeCell ref="B15:B19"/>
    <mergeCell ref="C15:C19"/>
    <mergeCell ref="D15:D19"/>
    <mergeCell ref="E15:E19"/>
    <mergeCell ref="F15:H19"/>
    <mergeCell ref="I15:K19"/>
    <mergeCell ref="E10:G10"/>
    <mergeCell ref="W15:W19"/>
    <mergeCell ref="X15:X19"/>
    <mergeCell ref="L16:L19"/>
    <mergeCell ref="M16:M19"/>
    <mergeCell ref="N16:N19"/>
    <mergeCell ref="O16:O19"/>
    <mergeCell ref="P16:P19"/>
    <mergeCell ref="Q16:Q19"/>
    <mergeCell ref="L15:Q15"/>
    <mergeCell ref="R15:R19"/>
    <mergeCell ref="S15:S19"/>
    <mergeCell ref="T15:T19"/>
    <mergeCell ref="U15:U19"/>
    <mergeCell ref="V15:V19"/>
    <mergeCell ref="R22:R23"/>
    <mergeCell ref="S22:S23"/>
    <mergeCell ref="T22:T23"/>
    <mergeCell ref="U22:U23"/>
    <mergeCell ref="F23:H23"/>
    <mergeCell ref="I23:K23"/>
    <mergeCell ref="F20:H20"/>
    <mergeCell ref="I20:K20"/>
    <mergeCell ref="A22:A23"/>
    <mergeCell ref="B22:B23"/>
    <mergeCell ref="C22:C23"/>
    <mergeCell ref="D22:D23"/>
    <mergeCell ref="E22:E23"/>
    <mergeCell ref="F22:H22"/>
    <mergeCell ref="I22:K22"/>
    <mergeCell ref="I24:K24"/>
    <mergeCell ref="R24:R25"/>
    <mergeCell ref="S24:S25"/>
    <mergeCell ref="T24:T25"/>
    <mergeCell ref="U24:U25"/>
    <mergeCell ref="F25:H25"/>
    <mergeCell ref="I25:K25"/>
    <mergeCell ref="A24:A25"/>
    <mergeCell ref="B24:B25"/>
    <mergeCell ref="C24:C25"/>
    <mergeCell ref="D24:D25"/>
    <mergeCell ref="E24:E25"/>
    <mergeCell ref="F24:H24"/>
    <mergeCell ref="I26:K26"/>
    <mergeCell ref="R26:R27"/>
    <mergeCell ref="S26:S27"/>
    <mergeCell ref="T26:T27"/>
    <mergeCell ref="U26:U27"/>
    <mergeCell ref="F27:H27"/>
    <mergeCell ref="I27:K27"/>
    <mergeCell ref="A26:A27"/>
    <mergeCell ref="B26:B27"/>
    <mergeCell ref="C26:C27"/>
    <mergeCell ref="D26:D27"/>
    <mergeCell ref="E26:E27"/>
    <mergeCell ref="F26:H26"/>
    <mergeCell ref="I28:K28"/>
    <mergeCell ref="R28:R29"/>
    <mergeCell ref="S28:S29"/>
    <mergeCell ref="T28:T29"/>
    <mergeCell ref="U28:U29"/>
    <mergeCell ref="F29:H29"/>
    <mergeCell ref="I29:K29"/>
    <mergeCell ref="A28:A29"/>
    <mergeCell ref="B28:B29"/>
    <mergeCell ref="C28:C29"/>
    <mergeCell ref="D28:D29"/>
    <mergeCell ref="E28:E29"/>
    <mergeCell ref="F28:H28"/>
    <mergeCell ref="I30:K30"/>
    <mergeCell ref="S30:S31"/>
    <mergeCell ref="T30:T31"/>
    <mergeCell ref="U30:U31"/>
    <mergeCell ref="F31:H31"/>
    <mergeCell ref="I31:K31"/>
    <mergeCell ref="A30:A31"/>
    <mergeCell ref="B30:B31"/>
    <mergeCell ref="C30:C31"/>
    <mergeCell ref="D30:D31"/>
    <mergeCell ref="E30:E31"/>
    <mergeCell ref="F30:H30"/>
    <mergeCell ref="I32:K32"/>
    <mergeCell ref="R32:R33"/>
    <mergeCell ref="S32:S33"/>
    <mergeCell ref="T32:T33"/>
    <mergeCell ref="U32:U33"/>
    <mergeCell ref="F33:H33"/>
    <mergeCell ref="I33:K33"/>
    <mergeCell ref="A32:A33"/>
    <mergeCell ref="B32:B33"/>
    <mergeCell ref="C32:C33"/>
    <mergeCell ref="D32:D33"/>
    <mergeCell ref="E32:E33"/>
    <mergeCell ref="F32:H32"/>
    <mergeCell ref="I34:K34"/>
    <mergeCell ref="R34:R35"/>
    <mergeCell ref="S34:S35"/>
    <mergeCell ref="T34:T35"/>
    <mergeCell ref="U34:U35"/>
    <mergeCell ref="F35:H35"/>
    <mergeCell ref="I35:K35"/>
    <mergeCell ref="A34:A35"/>
    <mergeCell ref="B34:B35"/>
    <mergeCell ref="C34:C35"/>
    <mergeCell ref="D34:D35"/>
    <mergeCell ref="E34:E35"/>
    <mergeCell ref="F34:H34"/>
    <mergeCell ref="I36:K36"/>
    <mergeCell ref="R36:R37"/>
    <mergeCell ref="S36:S37"/>
    <mergeCell ref="T36:T37"/>
    <mergeCell ref="U36:U37"/>
    <mergeCell ref="F37:H37"/>
    <mergeCell ref="I37:K37"/>
    <mergeCell ref="A36:A37"/>
    <mergeCell ref="B36:B37"/>
    <mergeCell ref="C36:C37"/>
    <mergeCell ref="D36:D37"/>
    <mergeCell ref="E36:E37"/>
    <mergeCell ref="F36:H36"/>
    <mergeCell ref="I38:K38"/>
    <mergeCell ref="R38:R39"/>
    <mergeCell ref="S38:S39"/>
    <mergeCell ref="T38:T39"/>
    <mergeCell ref="U38:U39"/>
    <mergeCell ref="F39:H39"/>
    <mergeCell ref="I39:K39"/>
    <mergeCell ref="A38:A39"/>
    <mergeCell ref="B38:B39"/>
    <mergeCell ref="C38:C39"/>
    <mergeCell ref="D38:D39"/>
    <mergeCell ref="E38:E39"/>
    <mergeCell ref="F38:H38"/>
    <mergeCell ref="I40:K40"/>
    <mergeCell ref="S40:S41"/>
    <mergeCell ref="T40:T41"/>
    <mergeCell ref="U40:U41"/>
    <mergeCell ref="F41:H41"/>
    <mergeCell ref="I41:K41"/>
    <mergeCell ref="A40:A41"/>
    <mergeCell ref="B40:B41"/>
    <mergeCell ref="C40:C41"/>
    <mergeCell ref="D40:D41"/>
    <mergeCell ref="E40:E41"/>
    <mergeCell ref="F40:H40"/>
    <mergeCell ref="I42:K42"/>
    <mergeCell ref="S42:S45"/>
    <mergeCell ref="T42:T45"/>
    <mergeCell ref="U42:U45"/>
    <mergeCell ref="F43:H45"/>
    <mergeCell ref="I43:K45"/>
    <mergeCell ref="R43:R45"/>
    <mergeCell ref="A42:A45"/>
    <mergeCell ref="B42:B45"/>
    <mergeCell ref="C42:C45"/>
    <mergeCell ref="D42:D45"/>
    <mergeCell ref="E42:E45"/>
    <mergeCell ref="F42:H42"/>
    <mergeCell ref="I46:K46"/>
    <mergeCell ref="S46:S47"/>
    <mergeCell ref="T46:T47"/>
    <mergeCell ref="U46:U47"/>
    <mergeCell ref="F47:H47"/>
    <mergeCell ref="I47:K47"/>
    <mergeCell ref="A46:A47"/>
    <mergeCell ref="B46:B47"/>
    <mergeCell ref="C46:C47"/>
    <mergeCell ref="D46:D47"/>
    <mergeCell ref="E46:E47"/>
    <mergeCell ref="F46:H46"/>
    <mergeCell ref="I48:K48"/>
    <mergeCell ref="S48:S51"/>
    <mergeCell ref="T48:T51"/>
    <mergeCell ref="U48:U51"/>
    <mergeCell ref="F49:H51"/>
    <mergeCell ref="I49:K51"/>
    <mergeCell ref="R49:R51"/>
    <mergeCell ref="A48:A51"/>
    <mergeCell ref="B48:B51"/>
    <mergeCell ref="C48:C51"/>
    <mergeCell ref="D48:D51"/>
    <mergeCell ref="E48:E51"/>
    <mergeCell ref="F48:H48"/>
    <mergeCell ref="I52:K52"/>
    <mergeCell ref="S52:S53"/>
    <mergeCell ref="T52:T53"/>
    <mergeCell ref="U52:U53"/>
    <mergeCell ref="F53:H53"/>
    <mergeCell ref="I53:K53"/>
    <mergeCell ref="A52:A53"/>
    <mergeCell ref="B52:B53"/>
    <mergeCell ref="C52:C53"/>
    <mergeCell ref="D52:D53"/>
    <mergeCell ref="E52:E53"/>
    <mergeCell ref="F52:H52"/>
    <mergeCell ref="I54:K54"/>
    <mergeCell ref="S54:S57"/>
    <mergeCell ref="T54:T57"/>
    <mergeCell ref="U54:U57"/>
    <mergeCell ref="F55:H57"/>
    <mergeCell ref="I55:K57"/>
    <mergeCell ref="R55:R57"/>
    <mergeCell ref="A54:A57"/>
    <mergeCell ref="B54:B57"/>
    <mergeCell ref="C54:C57"/>
    <mergeCell ref="D54:D57"/>
    <mergeCell ref="E54:E57"/>
    <mergeCell ref="F54:H54"/>
    <mergeCell ref="I58:K58"/>
    <mergeCell ref="S58:S59"/>
    <mergeCell ref="T58:T59"/>
    <mergeCell ref="U58:U59"/>
    <mergeCell ref="F59:H59"/>
    <mergeCell ref="I59:K59"/>
    <mergeCell ref="A58:A59"/>
    <mergeCell ref="B58:B59"/>
    <mergeCell ref="C58:C59"/>
    <mergeCell ref="D58:D59"/>
    <mergeCell ref="E58:E59"/>
    <mergeCell ref="F58:H58"/>
    <mergeCell ref="I60:K60"/>
    <mergeCell ref="S60:S63"/>
    <mergeCell ref="T60:T63"/>
    <mergeCell ref="U60:U63"/>
    <mergeCell ref="F61:H63"/>
    <mergeCell ref="I61:K63"/>
    <mergeCell ref="R61:R63"/>
    <mergeCell ref="A60:A63"/>
    <mergeCell ref="B60:B63"/>
    <mergeCell ref="C60:C63"/>
    <mergeCell ref="D60:D63"/>
    <mergeCell ref="E60:E63"/>
    <mergeCell ref="F60:H60"/>
    <mergeCell ref="I64:K64"/>
    <mergeCell ref="S64:S66"/>
    <mergeCell ref="T64:T66"/>
    <mergeCell ref="U64:U66"/>
    <mergeCell ref="F65:H66"/>
    <mergeCell ref="I65:K66"/>
    <mergeCell ref="R65:R66"/>
    <mergeCell ref="A64:A66"/>
    <mergeCell ref="B64:B66"/>
    <mergeCell ref="C64:C66"/>
    <mergeCell ref="D64:D66"/>
    <mergeCell ref="E64:E66"/>
    <mergeCell ref="F64:H64"/>
    <mergeCell ref="I67:K67"/>
    <mergeCell ref="S67:S68"/>
    <mergeCell ref="T67:T68"/>
    <mergeCell ref="U67:U68"/>
    <mergeCell ref="F68:H68"/>
    <mergeCell ref="I68:K68"/>
    <mergeCell ref="A67:A68"/>
    <mergeCell ref="B67:B68"/>
    <mergeCell ref="C67:C68"/>
    <mergeCell ref="D67:D68"/>
    <mergeCell ref="E67:E68"/>
    <mergeCell ref="F67:H67"/>
    <mergeCell ref="I69:K69"/>
    <mergeCell ref="S69:S70"/>
    <mergeCell ref="T69:T70"/>
    <mergeCell ref="U69:U70"/>
    <mergeCell ref="F70:H70"/>
    <mergeCell ref="I70:K70"/>
    <mergeCell ref="A69:A70"/>
    <mergeCell ref="B69:B70"/>
    <mergeCell ref="C69:C70"/>
    <mergeCell ref="D69:D70"/>
    <mergeCell ref="E69:E70"/>
    <mergeCell ref="F69:H69"/>
    <mergeCell ref="I71:K71"/>
    <mergeCell ref="S71:S72"/>
    <mergeCell ref="T71:T72"/>
    <mergeCell ref="U71:U72"/>
    <mergeCell ref="F72:H72"/>
    <mergeCell ref="I72:K72"/>
    <mergeCell ref="A71:A72"/>
    <mergeCell ref="B71:B72"/>
    <mergeCell ref="C71:C72"/>
    <mergeCell ref="D71:D72"/>
    <mergeCell ref="E71:E72"/>
    <mergeCell ref="F71:H71"/>
    <mergeCell ref="I73:K73"/>
    <mergeCell ref="S73:S74"/>
    <mergeCell ref="T73:T74"/>
    <mergeCell ref="U73:U74"/>
    <mergeCell ref="F74:H74"/>
    <mergeCell ref="I74:K74"/>
    <mergeCell ref="A73:A74"/>
    <mergeCell ref="B73:B74"/>
    <mergeCell ref="C73:C74"/>
    <mergeCell ref="D73:D74"/>
    <mergeCell ref="E73:E74"/>
    <mergeCell ref="F73:H73"/>
    <mergeCell ref="I75:K75"/>
    <mergeCell ref="S75:S76"/>
    <mergeCell ref="T75:T76"/>
    <mergeCell ref="U75:U76"/>
    <mergeCell ref="F76:H76"/>
    <mergeCell ref="I76:K76"/>
    <mergeCell ref="A75:A76"/>
    <mergeCell ref="B75:B76"/>
    <mergeCell ref="C75:C76"/>
    <mergeCell ref="D75:D76"/>
    <mergeCell ref="E75:E76"/>
    <mergeCell ref="F75:H75"/>
    <mergeCell ref="I77:K77"/>
    <mergeCell ref="S77:S78"/>
    <mergeCell ref="T77:T78"/>
    <mergeCell ref="U77:U78"/>
    <mergeCell ref="F78:H78"/>
    <mergeCell ref="I78:K78"/>
    <mergeCell ref="A77:A78"/>
    <mergeCell ref="B77:B78"/>
    <mergeCell ref="C77:C78"/>
    <mergeCell ref="D77:D78"/>
    <mergeCell ref="E77:E78"/>
    <mergeCell ref="F77:H77"/>
    <mergeCell ref="I79:K79"/>
    <mergeCell ref="S79:S80"/>
    <mergeCell ref="T79:T80"/>
    <mergeCell ref="U79:U80"/>
    <mergeCell ref="F80:H80"/>
    <mergeCell ref="I80:K80"/>
    <mergeCell ref="A79:A80"/>
    <mergeCell ref="B79:B80"/>
    <mergeCell ref="C79:C80"/>
    <mergeCell ref="D79:D80"/>
    <mergeCell ref="E79:E80"/>
    <mergeCell ref="F79:H79"/>
    <mergeCell ref="I81:K81"/>
    <mergeCell ref="S81:S82"/>
    <mergeCell ref="T81:T82"/>
    <mergeCell ref="U81:U82"/>
    <mergeCell ref="F82:H82"/>
    <mergeCell ref="I82:K82"/>
    <mergeCell ref="A81:A82"/>
    <mergeCell ref="B81:B82"/>
    <mergeCell ref="C81:C82"/>
    <mergeCell ref="D81:D82"/>
    <mergeCell ref="E81:E82"/>
    <mergeCell ref="F81:H81"/>
    <mergeCell ref="I83:K83"/>
    <mergeCell ref="S83:S84"/>
    <mergeCell ref="T83:T84"/>
    <mergeCell ref="U83:U84"/>
    <mergeCell ref="F84:H84"/>
    <mergeCell ref="I84:K84"/>
    <mergeCell ref="A83:A84"/>
    <mergeCell ref="B83:B84"/>
    <mergeCell ref="C83:C84"/>
    <mergeCell ref="D83:D84"/>
    <mergeCell ref="E83:E84"/>
    <mergeCell ref="F83:H83"/>
    <mergeCell ref="I85:K85"/>
    <mergeCell ref="S85:S87"/>
    <mergeCell ref="T85:T87"/>
    <mergeCell ref="U85:U87"/>
    <mergeCell ref="F86:H87"/>
    <mergeCell ref="I86:K87"/>
    <mergeCell ref="R86:R87"/>
    <mergeCell ref="A85:A87"/>
    <mergeCell ref="B85:B87"/>
    <mergeCell ref="C85:C87"/>
    <mergeCell ref="D85:D87"/>
    <mergeCell ref="E85:E87"/>
    <mergeCell ref="F85:H85"/>
    <mergeCell ref="I88:K88"/>
    <mergeCell ref="S88:S89"/>
    <mergeCell ref="T88:T89"/>
    <mergeCell ref="U88:U89"/>
    <mergeCell ref="F89:H89"/>
    <mergeCell ref="I89:K89"/>
    <mergeCell ref="A88:A89"/>
    <mergeCell ref="B88:B89"/>
    <mergeCell ref="C88:C89"/>
    <mergeCell ref="D88:D89"/>
    <mergeCell ref="E88:E89"/>
    <mergeCell ref="F88:H88"/>
    <mergeCell ref="I90:K90"/>
    <mergeCell ref="S90:S91"/>
    <mergeCell ref="T90:T91"/>
    <mergeCell ref="U90:U91"/>
    <mergeCell ref="F91:H91"/>
    <mergeCell ref="I91:K91"/>
    <mergeCell ref="A90:A91"/>
    <mergeCell ref="B90:B91"/>
    <mergeCell ref="C90:C91"/>
    <mergeCell ref="D90:D91"/>
    <mergeCell ref="E90:E91"/>
    <mergeCell ref="F90:H90"/>
    <mergeCell ref="I92:K92"/>
    <mergeCell ref="S92:S95"/>
    <mergeCell ref="T92:T95"/>
    <mergeCell ref="U92:U95"/>
    <mergeCell ref="F93:H95"/>
    <mergeCell ref="I93:K95"/>
    <mergeCell ref="R93:R95"/>
    <mergeCell ref="A92:A95"/>
    <mergeCell ref="B92:B95"/>
    <mergeCell ref="C92:C95"/>
    <mergeCell ref="D92:D95"/>
    <mergeCell ref="E92:E95"/>
    <mergeCell ref="F92:H92"/>
    <mergeCell ref="I96:K96"/>
    <mergeCell ref="R96:R97"/>
    <mergeCell ref="S96:S97"/>
    <mergeCell ref="T96:T97"/>
    <mergeCell ref="U96:U97"/>
    <mergeCell ref="F97:H97"/>
    <mergeCell ref="I97:K97"/>
    <mergeCell ref="A96:A97"/>
    <mergeCell ref="B96:B97"/>
    <mergeCell ref="C96:C97"/>
    <mergeCell ref="D96:D97"/>
    <mergeCell ref="E96:E97"/>
    <mergeCell ref="F96:H96"/>
    <mergeCell ref="I98:K98"/>
    <mergeCell ref="R98:R99"/>
    <mergeCell ref="S98:S99"/>
    <mergeCell ref="T98:T99"/>
    <mergeCell ref="U98:U99"/>
    <mergeCell ref="F99:H99"/>
    <mergeCell ref="I99:K99"/>
    <mergeCell ref="A98:A99"/>
    <mergeCell ref="B98:B99"/>
    <mergeCell ref="C98:C99"/>
    <mergeCell ref="D98:D99"/>
    <mergeCell ref="E98:E99"/>
    <mergeCell ref="F98:H98"/>
    <mergeCell ref="I100:K100"/>
    <mergeCell ref="R100:R101"/>
    <mergeCell ref="S100:S101"/>
    <mergeCell ref="T100:T101"/>
    <mergeCell ref="U100:U101"/>
    <mergeCell ref="F101:H101"/>
    <mergeCell ref="I101:K101"/>
    <mergeCell ref="A100:A101"/>
    <mergeCell ref="B100:B101"/>
    <mergeCell ref="C100:C101"/>
    <mergeCell ref="D100:D101"/>
    <mergeCell ref="E100:E101"/>
    <mergeCell ref="F100:H100"/>
    <mergeCell ref="I102:K102"/>
    <mergeCell ref="S102:S105"/>
    <mergeCell ref="T102:T105"/>
    <mergeCell ref="U102:U105"/>
    <mergeCell ref="F103:H105"/>
    <mergeCell ref="I103:K105"/>
    <mergeCell ref="R103:R105"/>
    <mergeCell ref="A102:A105"/>
    <mergeCell ref="B102:B105"/>
    <mergeCell ref="C102:C105"/>
    <mergeCell ref="D102:D105"/>
    <mergeCell ref="E102:E105"/>
    <mergeCell ref="F102:H102"/>
    <mergeCell ref="I106:K106"/>
    <mergeCell ref="R106:R107"/>
    <mergeCell ref="S106:S107"/>
    <mergeCell ref="T106:T107"/>
    <mergeCell ref="U106:U107"/>
    <mergeCell ref="F107:H107"/>
    <mergeCell ref="I107:K107"/>
    <mergeCell ref="A106:A107"/>
    <mergeCell ref="B106:B107"/>
    <mergeCell ref="C106:C107"/>
    <mergeCell ref="D106:D107"/>
    <mergeCell ref="E106:E107"/>
    <mergeCell ref="F106:H106"/>
    <mergeCell ref="I108:K108"/>
    <mergeCell ref="S108:S110"/>
    <mergeCell ref="T108:T110"/>
    <mergeCell ref="U108:U110"/>
    <mergeCell ref="F109:H110"/>
    <mergeCell ref="I109:K110"/>
    <mergeCell ref="R109:R110"/>
    <mergeCell ref="A108:A110"/>
    <mergeCell ref="B108:B110"/>
    <mergeCell ref="C108:C110"/>
    <mergeCell ref="D108:D110"/>
    <mergeCell ref="E108:E110"/>
    <mergeCell ref="F108:H108"/>
    <mergeCell ref="I111:K111"/>
    <mergeCell ref="S111:S113"/>
    <mergeCell ref="T111:T113"/>
    <mergeCell ref="U111:U113"/>
    <mergeCell ref="F112:H113"/>
    <mergeCell ref="I112:K113"/>
    <mergeCell ref="R112:R113"/>
    <mergeCell ref="A111:A113"/>
    <mergeCell ref="B111:B113"/>
    <mergeCell ref="C111:C113"/>
    <mergeCell ref="D111:D113"/>
    <mergeCell ref="E111:E113"/>
    <mergeCell ref="F111:H111"/>
    <mergeCell ref="I114:K114"/>
    <mergeCell ref="S114:S116"/>
    <mergeCell ref="T114:T116"/>
    <mergeCell ref="U114:U116"/>
    <mergeCell ref="F115:H116"/>
    <mergeCell ref="I115:K116"/>
    <mergeCell ref="R115:R116"/>
    <mergeCell ref="A114:A116"/>
    <mergeCell ref="B114:B116"/>
    <mergeCell ref="C114:C116"/>
    <mergeCell ref="D114:D116"/>
    <mergeCell ref="E114:E116"/>
    <mergeCell ref="F114:H114"/>
    <mergeCell ref="I117:K117"/>
    <mergeCell ref="S117:S119"/>
    <mergeCell ref="T117:T119"/>
    <mergeCell ref="U117:U119"/>
    <mergeCell ref="F118:H119"/>
    <mergeCell ref="I118:K119"/>
    <mergeCell ref="R118:R119"/>
    <mergeCell ref="A117:A119"/>
    <mergeCell ref="B117:B119"/>
    <mergeCell ref="C117:C119"/>
    <mergeCell ref="D117:D119"/>
    <mergeCell ref="E117:E119"/>
    <mergeCell ref="F117:H117"/>
    <mergeCell ref="I120:K120"/>
    <mergeCell ref="S120:S122"/>
    <mergeCell ref="T120:T122"/>
    <mergeCell ref="U120:U122"/>
    <mergeCell ref="F121:H122"/>
    <mergeCell ref="I121:K122"/>
    <mergeCell ref="R121:R122"/>
    <mergeCell ref="A120:A122"/>
    <mergeCell ref="B120:B122"/>
    <mergeCell ref="C120:C122"/>
    <mergeCell ref="D120:D122"/>
    <mergeCell ref="E120:E122"/>
    <mergeCell ref="F120:H120"/>
    <mergeCell ref="I123:K123"/>
    <mergeCell ref="S123:S125"/>
    <mergeCell ref="T123:T125"/>
    <mergeCell ref="U123:U125"/>
    <mergeCell ref="F124:H125"/>
    <mergeCell ref="I124:K125"/>
    <mergeCell ref="R124:R125"/>
    <mergeCell ref="A123:A125"/>
    <mergeCell ref="B123:B125"/>
    <mergeCell ref="C123:C125"/>
    <mergeCell ref="D123:D125"/>
    <mergeCell ref="E123:E125"/>
    <mergeCell ref="F123:H123"/>
    <mergeCell ref="I126:K126"/>
    <mergeCell ref="S126:S128"/>
    <mergeCell ref="T126:T128"/>
    <mergeCell ref="U126:U128"/>
    <mergeCell ref="F127:H128"/>
    <mergeCell ref="I127:K128"/>
    <mergeCell ref="R127:R128"/>
    <mergeCell ref="A126:A128"/>
    <mergeCell ref="B126:B128"/>
    <mergeCell ref="C126:C128"/>
    <mergeCell ref="D126:D128"/>
    <mergeCell ref="E126:E128"/>
    <mergeCell ref="F126:H126"/>
    <mergeCell ref="I129:K129"/>
    <mergeCell ref="S129:S130"/>
    <mergeCell ref="T129:T130"/>
    <mergeCell ref="U129:U130"/>
    <mergeCell ref="F130:H130"/>
    <mergeCell ref="I130:K130"/>
    <mergeCell ref="A129:A130"/>
    <mergeCell ref="B129:B130"/>
    <mergeCell ref="C129:C130"/>
    <mergeCell ref="D129:D130"/>
    <mergeCell ref="E129:E130"/>
    <mergeCell ref="F129:H129"/>
    <mergeCell ref="I131:K131"/>
    <mergeCell ref="S131:S132"/>
    <mergeCell ref="T131:T132"/>
    <mergeCell ref="U131:U132"/>
    <mergeCell ref="F132:H132"/>
    <mergeCell ref="I132:K132"/>
    <mergeCell ref="A131:A132"/>
    <mergeCell ref="B131:B132"/>
    <mergeCell ref="C131:C132"/>
    <mergeCell ref="D131:D132"/>
    <mergeCell ref="E131:E132"/>
    <mergeCell ref="F131:H131"/>
    <mergeCell ref="R134:R135"/>
    <mergeCell ref="S134:S135"/>
    <mergeCell ref="T134:T135"/>
    <mergeCell ref="U134:U135"/>
    <mergeCell ref="F135:H135"/>
    <mergeCell ref="I135:K135"/>
    <mergeCell ref="F133:L133"/>
    <mergeCell ref="A134:A135"/>
    <mergeCell ref="B134:B135"/>
    <mergeCell ref="C134:C135"/>
    <mergeCell ref="D134:D135"/>
    <mergeCell ref="E134:E135"/>
    <mergeCell ref="F134:H134"/>
    <mergeCell ref="I134:K134"/>
    <mergeCell ref="I136:K136"/>
    <mergeCell ref="R136:R137"/>
    <mergeCell ref="S136:S137"/>
    <mergeCell ref="T136:T137"/>
    <mergeCell ref="F137:H137"/>
    <mergeCell ref="I137:K137"/>
    <mergeCell ref="A136:A137"/>
    <mergeCell ref="B136:B137"/>
    <mergeCell ref="C136:C137"/>
    <mergeCell ref="D136:D137"/>
    <mergeCell ref="E136:E137"/>
    <mergeCell ref="F136:H136"/>
    <mergeCell ref="I138:K138"/>
    <mergeCell ref="S138:S141"/>
    <mergeCell ref="T138:T141"/>
    <mergeCell ref="U138:U141"/>
    <mergeCell ref="F139:H141"/>
    <mergeCell ref="I139:K141"/>
    <mergeCell ref="R139:R141"/>
    <mergeCell ref="A138:A141"/>
    <mergeCell ref="B138:B141"/>
    <mergeCell ref="C138:C141"/>
    <mergeCell ref="D138:D141"/>
    <mergeCell ref="E138:E141"/>
    <mergeCell ref="F138:H138"/>
    <mergeCell ref="I142:K142"/>
    <mergeCell ref="S142:S143"/>
    <mergeCell ref="T142:T143"/>
    <mergeCell ref="U142:U143"/>
    <mergeCell ref="F143:H143"/>
    <mergeCell ref="I143:K143"/>
    <mergeCell ref="A142:A143"/>
    <mergeCell ref="B142:B143"/>
    <mergeCell ref="C142:C143"/>
    <mergeCell ref="D142:D143"/>
    <mergeCell ref="E142:E143"/>
    <mergeCell ref="F142:H142"/>
    <mergeCell ref="I144:K144"/>
    <mergeCell ref="S144:S145"/>
    <mergeCell ref="T144:T145"/>
    <mergeCell ref="U144:U145"/>
    <mergeCell ref="F145:H145"/>
    <mergeCell ref="I145:K145"/>
    <mergeCell ref="A144:A145"/>
    <mergeCell ref="B144:B145"/>
    <mergeCell ref="C144:C145"/>
    <mergeCell ref="D144:D145"/>
    <mergeCell ref="E144:E145"/>
    <mergeCell ref="F144:H144"/>
    <mergeCell ref="I146:K146"/>
    <mergeCell ref="S146:S147"/>
    <mergeCell ref="T146:T147"/>
    <mergeCell ref="U146:U147"/>
    <mergeCell ref="F147:H147"/>
    <mergeCell ref="I147:K147"/>
    <mergeCell ref="A146:A147"/>
    <mergeCell ref="B146:B147"/>
    <mergeCell ref="C146:C147"/>
    <mergeCell ref="D146:D147"/>
    <mergeCell ref="E146:E147"/>
    <mergeCell ref="F146:H146"/>
    <mergeCell ref="I149:K149"/>
    <mergeCell ref="R149:R150"/>
    <mergeCell ref="S149:S150"/>
    <mergeCell ref="T149:T150"/>
    <mergeCell ref="U149:U150"/>
    <mergeCell ref="F150:H150"/>
    <mergeCell ref="I150:K150"/>
    <mergeCell ref="A149:A150"/>
    <mergeCell ref="B149:B150"/>
    <mergeCell ref="C149:C150"/>
    <mergeCell ref="D149:D150"/>
    <mergeCell ref="E149:E150"/>
    <mergeCell ref="F149:H149"/>
    <mergeCell ref="I151:K151"/>
    <mergeCell ref="R151:R152"/>
    <mergeCell ref="S151:S152"/>
    <mergeCell ref="T151:T152"/>
    <mergeCell ref="F152:H152"/>
    <mergeCell ref="I152:K152"/>
    <mergeCell ref="A151:A152"/>
    <mergeCell ref="B151:B152"/>
    <mergeCell ref="C151:C152"/>
    <mergeCell ref="D151:D152"/>
    <mergeCell ref="E151:E152"/>
    <mergeCell ref="F151:H151"/>
    <mergeCell ref="I153:K153"/>
    <mergeCell ref="S153:S154"/>
    <mergeCell ref="T153:T154"/>
    <mergeCell ref="U153:U154"/>
    <mergeCell ref="F154:H154"/>
    <mergeCell ref="I154:K154"/>
    <mergeCell ref="A153:A154"/>
    <mergeCell ref="B153:B154"/>
    <mergeCell ref="C153:C154"/>
    <mergeCell ref="D153:D154"/>
    <mergeCell ref="E153:E154"/>
    <mergeCell ref="F153:H153"/>
    <mergeCell ref="I155:K155"/>
    <mergeCell ref="S155:S156"/>
    <mergeCell ref="T155:T156"/>
    <mergeCell ref="U155:U156"/>
    <mergeCell ref="F156:H156"/>
    <mergeCell ref="I156:K156"/>
    <mergeCell ref="A155:A156"/>
    <mergeCell ref="B155:B156"/>
    <mergeCell ref="C155:C156"/>
    <mergeCell ref="D155:D156"/>
    <mergeCell ref="E155:E156"/>
    <mergeCell ref="F155:H155"/>
    <mergeCell ref="C159:V159"/>
    <mergeCell ref="C167:W167"/>
    <mergeCell ref="I157:K157"/>
    <mergeCell ref="S157:S158"/>
    <mergeCell ref="T157:T158"/>
    <mergeCell ref="U157:U158"/>
    <mergeCell ref="F158:H158"/>
    <mergeCell ref="I158:K158"/>
    <mergeCell ref="A157:A158"/>
    <mergeCell ref="B157:B158"/>
    <mergeCell ref="C157:C158"/>
    <mergeCell ref="D157:D158"/>
    <mergeCell ref="E157:E158"/>
    <mergeCell ref="F157:H157"/>
  </mergeCells>
  <pageMargins left="0.7" right="0.7" top="0.75" bottom="0.75" header="0.3" footer="0.3"/>
  <ignoredErrors>
    <ignoredError sqref="V20:W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Հայերեն</vt:lpstr>
      <vt:lpstr>Рус</vt:lpstr>
      <vt:lpstr>Հայերեն!Область_печати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SmartWave</dc:creator>
  <cp:lastModifiedBy>Admin</cp:lastModifiedBy>
  <dcterms:created xsi:type="dcterms:W3CDTF">2015-06-05T18:17:20Z</dcterms:created>
  <dcterms:modified xsi:type="dcterms:W3CDTF">2025-06-10T06:19:03Z</dcterms:modified>
</cp:coreProperties>
</file>